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userName="Gregor,Lori L" reservationPassword="EC77"/>
  <workbookPr defaultThemeVersion="124226"/>
  <workbookProtection workbookPassword="EC77" lockStructure="1"/>
  <bookViews>
    <workbookView xWindow="300" yWindow="75" windowWidth="13185" windowHeight="12765"/>
  </bookViews>
  <sheets>
    <sheet name="List of Programs" sheetId="1" r:id="rId1"/>
    <sheet name="Data Descriptions" sheetId="2" r:id="rId2"/>
    <sheet name="EdD" sheetId="3" r:id="rId3"/>
    <sheet name="Specialist" sheetId="4" r:id="rId4"/>
    <sheet name="Master's (1 yr)" sheetId="5" r:id="rId5"/>
    <sheet name="Master's (2 yr)" sheetId="6" r:id="rId6"/>
    <sheet name="Prof Engineer" sheetId="8" r:id="rId7"/>
    <sheet name="Professional Doctoral" sheetId="16" r:id="rId8"/>
    <sheet name="EdD Additive" sheetId="9" r:id="rId9"/>
    <sheet name="Specialist Additive" sheetId="10" r:id="rId10"/>
    <sheet name="Masters (1 yr) Additive" sheetId="11" r:id="rId11"/>
    <sheet name="Masters (2 yr) Additive" sheetId="12" r:id="rId12"/>
    <sheet name="Engineer (Additive)" sheetId="13" r:id="rId13"/>
    <sheet name="Professional Doctoral Additive" sheetId="15" r:id="rId14"/>
  </sheets>
  <definedNames>
    <definedName name="_xlnm._FilterDatabase" localSheetId="0" hidden="1">'List of Programs'!$A$1:$K$219</definedName>
  </definedNames>
  <calcPr calcId="152511"/>
</workbook>
</file>

<file path=xl/calcChain.xml><?xml version="1.0" encoding="utf-8"?>
<calcChain xmlns="http://schemas.openxmlformats.org/spreadsheetml/2006/main">
  <c r="J7" i="3" l="1"/>
  <c r="I7" i="3"/>
  <c r="Z18" i="11" l="1"/>
  <c r="Z6" i="11"/>
  <c r="Z130" i="11"/>
  <c r="F57" i="6" l="1"/>
  <c r="Z20" i="12"/>
  <c r="Y7" i="15" l="1"/>
  <c r="Y6" i="15"/>
  <c r="Y7" i="10"/>
  <c r="Y9" i="10"/>
  <c r="Y10" i="10"/>
  <c r="Y12" i="10"/>
  <c r="Y13" i="10"/>
  <c r="Y14" i="10"/>
  <c r="Y6" i="10"/>
  <c r="Y6" i="9"/>
  <c r="Y7" i="9"/>
  <c r="Y8" i="9"/>
  <c r="Y14" i="9"/>
  <c r="F8" i="6"/>
  <c r="F9" i="6"/>
  <c r="F13" i="6"/>
  <c r="F14" i="6"/>
  <c r="F15" i="6"/>
  <c r="F16" i="6"/>
  <c r="F17" i="6"/>
  <c r="F18" i="6"/>
  <c r="F19" i="6"/>
  <c r="F20" i="6"/>
  <c r="F24" i="6"/>
  <c r="F25" i="6"/>
  <c r="F26" i="6"/>
  <c r="F27" i="6"/>
  <c r="F30" i="6"/>
  <c r="F31" i="6"/>
  <c r="F32" i="6"/>
  <c r="F33" i="6"/>
  <c r="F34" i="6"/>
  <c r="F35" i="6"/>
  <c r="F37" i="6"/>
  <c r="F39" i="6"/>
  <c r="F41" i="6"/>
  <c r="F42" i="6"/>
  <c r="F44" i="6"/>
  <c r="F45" i="6"/>
  <c r="F46" i="6"/>
  <c r="F47" i="6"/>
  <c r="F48" i="6"/>
  <c r="F50" i="6"/>
  <c r="F51" i="6"/>
  <c r="F52" i="6"/>
  <c r="F53" i="6"/>
  <c r="F54" i="6"/>
  <c r="F55" i="6"/>
  <c r="F144" i="5" l="1"/>
  <c r="F8" i="5"/>
  <c r="F9" i="5"/>
  <c r="F10" i="5"/>
  <c r="F11" i="5"/>
  <c r="F12" i="5"/>
  <c r="F13" i="5"/>
  <c r="F14" i="5"/>
  <c r="F15" i="5"/>
  <c r="F16" i="5"/>
  <c r="F17" i="5"/>
  <c r="F19" i="5"/>
  <c r="F20" i="5"/>
  <c r="F21" i="5"/>
  <c r="F23" i="5"/>
  <c r="F24" i="5"/>
  <c r="F26" i="5"/>
  <c r="F27" i="5"/>
  <c r="F28" i="5"/>
  <c r="F29" i="5"/>
  <c r="F30" i="5"/>
  <c r="F31" i="5"/>
  <c r="F32" i="5"/>
  <c r="F33" i="5"/>
  <c r="F34" i="5"/>
  <c r="F35" i="5"/>
  <c r="F36" i="5"/>
  <c r="F37" i="5"/>
  <c r="F38" i="5"/>
  <c r="F39" i="5"/>
  <c r="F40" i="5"/>
  <c r="F41" i="5"/>
  <c r="F42" i="5"/>
  <c r="F43" i="5"/>
  <c r="F44" i="5"/>
  <c r="F45" i="5"/>
  <c r="F46" i="5"/>
  <c r="F47" i="5"/>
  <c r="F48" i="5"/>
  <c r="F50" i="5"/>
  <c r="F51" i="5"/>
  <c r="F53" i="5"/>
  <c r="F55" i="5"/>
  <c r="F56" i="5"/>
  <c r="F57" i="5"/>
  <c r="F58" i="5"/>
  <c r="F59" i="5"/>
  <c r="F61" i="5"/>
  <c r="F62" i="5"/>
  <c r="F63" i="5"/>
  <c r="F64" i="5"/>
  <c r="F65" i="5"/>
  <c r="F66" i="5"/>
  <c r="F67" i="5"/>
  <c r="F69" i="5"/>
  <c r="F70" i="5"/>
  <c r="F71" i="5"/>
  <c r="F72" i="5"/>
  <c r="F73" i="5"/>
  <c r="F74" i="5"/>
  <c r="F75" i="5"/>
  <c r="F76" i="5"/>
  <c r="F77" i="5"/>
  <c r="F78" i="5"/>
  <c r="F79" i="5"/>
  <c r="F81" i="5"/>
  <c r="F82" i="5"/>
  <c r="F83" i="5"/>
  <c r="F85" i="5"/>
  <c r="F86" i="5"/>
  <c r="F87" i="5"/>
  <c r="F89" i="5"/>
  <c r="F90" i="5"/>
  <c r="F91" i="5"/>
  <c r="F92" i="5"/>
  <c r="F93" i="5"/>
  <c r="F94" i="5"/>
  <c r="F95" i="5"/>
  <c r="F96" i="5"/>
  <c r="F98" i="5"/>
  <c r="F99" i="5"/>
  <c r="F100" i="5"/>
  <c r="F101" i="5"/>
  <c r="F102" i="5"/>
  <c r="F104" i="5"/>
  <c r="F105" i="5"/>
  <c r="F106" i="5"/>
  <c r="F109" i="5"/>
  <c r="F110" i="5"/>
  <c r="F112" i="5"/>
  <c r="F113" i="5"/>
  <c r="F114" i="5"/>
  <c r="F115" i="5"/>
  <c r="F118" i="5"/>
  <c r="F119" i="5"/>
  <c r="F120" i="5"/>
  <c r="F121" i="5"/>
  <c r="F122" i="5"/>
  <c r="F124" i="5"/>
  <c r="F127" i="5"/>
  <c r="F128" i="5"/>
  <c r="F129" i="5"/>
  <c r="F130" i="5"/>
  <c r="F131" i="5"/>
  <c r="F132" i="5"/>
  <c r="F133" i="5"/>
  <c r="F134" i="5"/>
  <c r="F135" i="5"/>
  <c r="F136" i="5"/>
  <c r="F137" i="5"/>
  <c r="F138" i="5"/>
  <c r="F139" i="5"/>
  <c r="F140" i="5"/>
  <c r="F141" i="5"/>
  <c r="F142" i="5"/>
  <c r="F143" i="5"/>
  <c r="F145" i="5"/>
  <c r="F146" i="5"/>
  <c r="F7" i="5"/>
  <c r="Z7" i="12"/>
  <c r="Z8" i="12"/>
  <c r="Z12" i="12"/>
  <c r="Z13" i="12"/>
  <c r="Z14" i="12"/>
  <c r="Z15" i="12"/>
  <c r="Z16" i="12"/>
  <c r="Z17" i="12"/>
  <c r="Z18" i="12"/>
  <c r="Z19" i="12"/>
  <c r="Z24" i="12"/>
  <c r="Z25" i="12"/>
  <c r="Z26" i="12"/>
  <c r="Z27" i="12"/>
  <c r="Z30" i="12"/>
  <c r="Z31" i="12"/>
  <c r="Z32" i="12"/>
  <c r="Z33" i="12"/>
  <c r="Z34" i="12"/>
  <c r="Z35" i="12"/>
  <c r="Z37" i="12"/>
  <c r="Z39" i="12"/>
  <c r="Z41" i="12"/>
  <c r="Z42" i="12"/>
  <c r="Z44" i="12"/>
  <c r="Z45" i="12"/>
  <c r="Z46" i="12"/>
  <c r="Z47" i="12"/>
  <c r="Z48" i="12"/>
  <c r="Z50" i="12"/>
  <c r="Z51" i="12"/>
  <c r="Z52" i="12"/>
  <c r="Z53" i="12"/>
  <c r="Z54" i="12"/>
  <c r="Z55" i="12"/>
  <c r="Z7" i="11"/>
  <c r="Z8" i="11"/>
  <c r="Z9" i="11"/>
  <c r="Z10" i="11"/>
  <c r="Z11" i="11"/>
  <c r="Z12" i="11"/>
  <c r="Z13" i="11"/>
  <c r="Z14" i="11"/>
  <c r="Z15" i="11"/>
  <c r="Z16" i="11"/>
  <c r="Z19" i="11"/>
  <c r="Z20" i="11"/>
  <c r="Z22" i="11"/>
  <c r="Z23" i="11"/>
  <c r="Z25" i="11"/>
  <c r="Z26" i="11"/>
  <c r="Z27" i="11"/>
  <c r="Z28" i="11"/>
  <c r="Z29" i="11"/>
  <c r="Z30" i="11"/>
  <c r="Z31" i="11"/>
  <c r="Z32" i="11"/>
  <c r="Z33" i="11"/>
  <c r="Z34" i="11"/>
  <c r="Z35" i="11"/>
  <c r="Z36" i="11"/>
  <c r="Z37" i="11"/>
  <c r="Z38" i="11"/>
  <c r="Z39" i="11"/>
  <c r="Z40" i="11"/>
  <c r="Z41" i="11"/>
  <c r="Z42" i="11"/>
  <c r="Z43" i="11"/>
  <c r="Z44" i="11"/>
  <c r="Z45" i="11"/>
  <c r="Z46" i="11"/>
  <c r="Z47" i="11"/>
  <c r="Z49" i="11"/>
  <c r="Z50" i="11"/>
  <c r="Z52" i="11"/>
  <c r="Z54" i="11"/>
  <c r="Z55" i="11"/>
  <c r="Z56" i="11"/>
  <c r="Z57" i="11"/>
  <c r="Z58" i="11"/>
  <c r="Z60" i="11"/>
  <c r="Z61" i="11"/>
  <c r="Z62" i="11"/>
  <c r="Z63" i="11"/>
  <c r="Z64" i="11"/>
  <c r="Z65" i="11"/>
  <c r="Z66" i="11"/>
  <c r="Z68" i="11"/>
  <c r="Z69" i="11"/>
  <c r="Z70" i="11"/>
  <c r="Z71" i="11"/>
  <c r="Z72" i="11"/>
  <c r="Z73" i="11"/>
  <c r="Z74" i="11"/>
  <c r="Z75" i="11"/>
  <c r="Z76" i="11"/>
  <c r="Z77" i="11"/>
  <c r="Z78" i="11"/>
  <c r="Z80" i="11"/>
  <c r="Z81" i="11"/>
  <c r="Z82" i="11"/>
  <c r="Z84" i="11"/>
  <c r="Z85" i="11"/>
  <c r="Z86" i="11"/>
  <c r="Z88" i="11"/>
  <c r="Z89" i="11"/>
  <c r="Z90" i="11"/>
  <c r="Z91" i="11"/>
  <c r="Z92" i="11"/>
  <c r="Z93" i="11"/>
  <c r="Z94" i="11"/>
  <c r="Z95" i="11"/>
  <c r="Z97" i="11"/>
  <c r="Z98" i="11"/>
  <c r="Z99" i="11"/>
  <c r="Z100" i="11"/>
  <c r="Z101" i="11"/>
  <c r="Z103" i="11"/>
  <c r="Z104" i="11"/>
  <c r="Z105" i="11"/>
  <c r="Z108" i="11"/>
  <c r="Z109" i="11"/>
  <c r="Z110" i="11"/>
  <c r="Z111" i="11"/>
  <c r="Z112" i="11"/>
  <c r="Z113" i="11"/>
  <c r="Z114" i="11"/>
  <c r="Z117" i="11"/>
  <c r="Z118" i="11"/>
  <c r="Z119" i="11"/>
  <c r="Z120" i="11"/>
  <c r="Z121" i="11"/>
  <c r="Z123" i="11"/>
  <c r="Z126" i="11"/>
  <c r="Z127" i="11"/>
  <c r="Z128" i="11"/>
  <c r="Z129" i="11"/>
  <c r="Z131" i="11"/>
  <c r="Z132" i="11"/>
  <c r="Z133" i="11"/>
  <c r="Z134" i="11"/>
  <c r="Z135" i="11"/>
  <c r="Z136" i="11"/>
  <c r="Z137" i="11"/>
  <c r="Z138" i="11"/>
  <c r="Z139" i="11"/>
  <c r="Z140" i="11"/>
  <c r="Z141" i="11"/>
  <c r="Z142" i="11"/>
  <c r="Z143" i="11"/>
  <c r="Z144" i="11"/>
  <c r="Z145" i="11"/>
  <c r="E8" i="4" l="1"/>
  <c r="E10" i="4"/>
  <c r="E11" i="4"/>
  <c r="E13" i="4"/>
  <c r="E14" i="4"/>
  <c r="E15" i="4"/>
  <c r="E7" i="4"/>
  <c r="E8" i="3"/>
  <c r="E9" i="3"/>
  <c r="E15" i="3"/>
  <c r="E7" i="3"/>
  <c r="E7" i="16" l="1"/>
  <c r="E8" i="16"/>
  <c r="J8" i="3" l="1"/>
  <c r="I8" i="3"/>
  <c r="I8" i="16" l="1"/>
  <c r="W8" i="9" l="1"/>
  <c r="V8" i="9"/>
  <c r="X104" i="11"/>
  <c r="W104" i="11"/>
  <c r="X35" i="12"/>
  <c r="W35" i="12"/>
  <c r="X84" i="11"/>
  <c r="W84" i="11"/>
  <c r="X130" i="11"/>
  <c r="W130" i="11"/>
  <c r="X108" i="11"/>
  <c r="W108" i="11"/>
  <c r="X34" i="12"/>
  <c r="W34" i="12"/>
  <c r="X33" i="12"/>
  <c r="W33" i="12"/>
  <c r="X86" i="11"/>
  <c r="W86" i="11"/>
  <c r="X30" i="12"/>
  <c r="W30" i="12"/>
  <c r="X18" i="12"/>
  <c r="W18" i="12"/>
  <c r="X39" i="11"/>
  <c r="W39" i="11"/>
  <c r="X12" i="12"/>
  <c r="W12" i="12"/>
  <c r="X135" i="11"/>
  <c r="W135" i="11"/>
  <c r="X15" i="11"/>
  <c r="W15" i="11"/>
  <c r="W10" i="10"/>
  <c r="V10" i="10"/>
  <c r="W9" i="10"/>
  <c r="V9" i="10"/>
  <c r="W6" i="10"/>
  <c r="V6" i="10"/>
  <c r="W7" i="9"/>
  <c r="V7" i="9"/>
  <c r="J8" i="16"/>
  <c r="I9" i="3"/>
  <c r="J9" i="3"/>
  <c r="K55" i="6"/>
  <c r="J55" i="6"/>
  <c r="K51" i="6"/>
  <c r="J51" i="6"/>
  <c r="K41" i="6"/>
  <c r="J41" i="6"/>
  <c r="K37" i="6"/>
  <c r="J37" i="6"/>
  <c r="K35" i="6"/>
  <c r="J35" i="6"/>
  <c r="K34" i="6"/>
  <c r="J34" i="6"/>
  <c r="K33" i="6"/>
  <c r="J33" i="6"/>
  <c r="K30" i="6"/>
  <c r="J30" i="6"/>
  <c r="K26" i="6"/>
  <c r="J26" i="6"/>
  <c r="K25" i="6"/>
  <c r="J25" i="6"/>
  <c r="K19" i="6"/>
  <c r="J19" i="6"/>
  <c r="K16" i="6"/>
  <c r="J16" i="6"/>
  <c r="K13" i="6"/>
  <c r="J13" i="6"/>
  <c r="K8" i="6"/>
  <c r="J8" i="6"/>
  <c r="K139" i="5"/>
  <c r="J139" i="5"/>
  <c r="K136" i="5"/>
  <c r="J136" i="5"/>
  <c r="K135" i="5"/>
  <c r="J135" i="5"/>
  <c r="K131" i="5"/>
  <c r="J131" i="5"/>
  <c r="K130" i="5"/>
  <c r="J130" i="5"/>
  <c r="K127" i="5"/>
  <c r="J127" i="5"/>
  <c r="K125" i="5"/>
  <c r="J125" i="5"/>
  <c r="K112" i="5"/>
  <c r="J112" i="5"/>
  <c r="K109" i="5"/>
  <c r="J109" i="5"/>
  <c r="K105" i="5"/>
  <c r="J105" i="5"/>
  <c r="K104" i="5"/>
  <c r="J104" i="5"/>
  <c r="K99" i="5"/>
  <c r="J99" i="5"/>
  <c r="K98" i="5"/>
  <c r="J98" i="5"/>
  <c r="K95" i="5"/>
  <c r="J95" i="5"/>
  <c r="K93" i="5"/>
  <c r="J93" i="5"/>
  <c r="K92" i="5"/>
  <c r="J92" i="5"/>
  <c r="K91" i="5"/>
  <c r="J91" i="5"/>
  <c r="K89" i="5"/>
  <c r="J89" i="5"/>
  <c r="K87" i="5"/>
  <c r="J87" i="5"/>
  <c r="K85" i="5"/>
  <c r="J85" i="5"/>
  <c r="K83" i="5"/>
  <c r="J83" i="5"/>
  <c r="K80" i="5"/>
  <c r="J80" i="5"/>
  <c r="K78" i="5"/>
  <c r="J78" i="5"/>
  <c r="K76" i="5"/>
  <c r="J76" i="5"/>
  <c r="J75" i="5"/>
  <c r="K69" i="5"/>
  <c r="J69" i="5"/>
  <c r="K67" i="5"/>
  <c r="J67" i="5"/>
  <c r="K66" i="5"/>
  <c r="J66" i="5"/>
  <c r="K65" i="5"/>
  <c r="J65" i="5"/>
  <c r="K63" i="5"/>
  <c r="J63" i="5"/>
  <c r="K58" i="5"/>
  <c r="J58" i="5"/>
  <c r="K57" i="5"/>
  <c r="J57" i="5"/>
  <c r="K55" i="5"/>
  <c r="J55" i="5"/>
  <c r="K51" i="5"/>
  <c r="J51" i="5"/>
  <c r="K50" i="5"/>
  <c r="J50" i="5"/>
  <c r="K49" i="5"/>
  <c r="J49" i="5"/>
  <c r="K41" i="5"/>
  <c r="J41" i="5"/>
  <c r="K40" i="5"/>
  <c r="J40" i="5"/>
  <c r="K37" i="5"/>
  <c r="J37" i="5"/>
  <c r="K36" i="5"/>
  <c r="J36" i="5"/>
  <c r="K35" i="5"/>
  <c r="J35" i="5"/>
  <c r="K34" i="5"/>
  <c r="J34" i="5"/>
  <c r="K33" i="5"/>
  <c r="J33" i="5"/>
  <c r="K32" i="5"/>
  <c r="J32" i="5"/>
  <c r="K31" i="5"/>
  <c r="J31" i="5"/>
  <c r="K29" i="5"/>
  <c r="J29" i="5"/>
  <c r="J28" i="5"/>
  <c r="J23" i="5"/>
  <c r="J21" i="5"/>
  <c r="K17" i="5"/>
  <c r="J17" i="5"/>
  <c r="K16" i="5"/>
  <c r="J16" i="5"/>
  <c r="K10" i="5"/>
  <c r="J10" i="5"/>
  <c r="K9" i="5"/>
  <c r="J9" i="5"/>
  <c r="K8" i="5"/>
  <c r="J8" i="5"/>
  <c r="J7" i="5"/>
  <c r="X52" i="12" l="1"/>
  <c r="W52" i="12"/>
  <c r="X51" i="12"/>
  <c r="W51" i="12"/>
  <c r="X50" i="12"/>
  <c r="W50" i="12"/>
  <c r="X48" i="12"/>
  <c r="W48" i="12"/>
  <c r="X47" i="12"/>
  <c r="W47" i="12"/>
  <c r="X46" i="12"/>
  <c r="W46" i="12"/>
  <c r="X45" i="12"/>
  <c r="W45" i="12"/>
  <c r="X41" i="12"/>
  <c r="W41" i="12"/>
  <c r="X37" i="12"/>
  <c r="W37" i="12"/>
  <c r="X31" i="12"/>
  <c r="W31" i="12"/>
  <c r="X29" i="12"/>
  <c r="W29" i="12"/>
  <c r="X24" i="12"/>
  <c r="W24" i="12"/>
  <c r="X23" i="12"/>
  <c r="W23" i="12"/>
  <c r="X19" i="12"/>
  <c r="W19" i="12"/>
  <c r="X17" i="12"/>
  <c r="W17" i="12"/>
  <c r="X16" i="12"/>
  <c r="W16" i="12"/>
  <c r="X15" i="12"/>
  <c r="W15" i="12"/>
  <c r="X54" i="12"/>
  <c r="W54" i="12"/>
  <c r="X8" i="12"/>
  <c r="W8" i="12"/>
  <c r="X14" i="12"/>
  <c r="W14" i="12"/>
  <c r="X55" i="12"/>
  <c r="W55" i="12"/>
  <c r="X43" i="12"/>
  <c r="W43" i="12"/>
  <c r="X27" i="12"/>
  <c r="W27" i="12"/>
  <c r="X7" i="12"/>
  <c r="W7" i="12"/>
  <c r="X25" i="12"/>
  <c r="W25" i="12"/>
  <c r="X36" i="12"/>
  <c r="W36" i="12"/>
  <c r="X26" i="12"/>
  <c r="W26" i="12"/>
  <c r="X144" i="11"/>
  <c r="W144" i="11"/>
  <c r="X143" i="11"/>
  <c r="W143" i="11"/>
  <c r="X142" i="11"/>
  <c r="W142" i="11"/>
  <c r="X136" i="11"/>
  <c r="W136" i="11"/>
  <c r="X134" i="11"/>
  <c r="W134" i="11"/>
  <c r="X133" i="11"/>
  <c r="W133" i="11"/>
  <c r="X132" i="11"/>
  <c r="W132" i="11"/>
  <c r="X131" i="11"/>
  <c r="W131" i="11"/>
  <c r="X128" i="11"/>
  <c r="W128" i="11"/>
  <c r="X126" i="11"/>
  <c r="W126" i="11"/>
  <c r="X123" i="11"/>
  <c r="W123" i="11"/>
  <c r="X121" i="11"/>
  <c r="W121" i="11"/>
  <c r="X120" i="11"/>
  <c r="W120" i="11"/>
  <c r="X119" i="11"/>
  <c r="W119" i="11"/>
  <c r="X118" i="11"/>
  <c r="W118" i="11"/>
  <c r="X115" i="11"/>
  <c r="W115" i="11"/>
  <c r="X112" i="11"/>
  <c r="W112" i="11"/>
  <c r="X111" i="11"/>
  <c r="W111" i="11"/>
  <c r="X109" i="11"/>
  <c r="W109" i="11"/>
  <c r="X105" i="11"/>
  <c r="W105" i="11"/>
  <c r="X103" i="11"/>
  <c r="W103" i="11"/>
  <c r="X101" i="11"/>
  <c r="W101" i="11"/>
  <c r="X100" i="11"/>
  <c r="W100" i="11"/>
  <c r="X98" i="11"/>
  <c r="W98" i="11"/>
  <c r="W95" i="11"/>
  <c r="X95" i="11"/>
  <c r="X97" i="11"/>
  <c r="W97" i="11"/>
  <c r="X96" i="11"/>
  <c r="W96" i="11"/>
  <c r="X94" i="11"/>
  <c r="W94" i="11"/>
  <c r="X93" i="11"/>
  <c r="W93" i="11"/>
  <c r="X92" i="11"/>
  <c r="W92" i="11"/>
  <c r="X91" i="11"/>
  <c r="W91" i="11"/>
  <c r="X88" i="11"/>
  <c r="W88" i="11"/>
  <c r="X85" i="11"/>
  <c r="W85" i="11"/>
  <c r="X83" i="11"/>
  <c r="W83" i="11"/>
  <c r="X82" i="11"/>
  <c r="W82" i="11"/>
  <c r="X80" i="11"/>
  <c r="W80" i="11"/>
  <c r="X79" i="11"/>
  <c r="W79" i="11"/>
  <c r="X78" i="11"/>
  <c r="W78" i="11"/>
  <c r="X77" i="11"/>
  <c r="W77" i="11"/>
  <c r="X76" i="11"/>
  <c r="W76" i="11"/>
  <c r="X75" i="11"/>
  <c r="W75" i="11"/>
  <c r="X74" i="11"/>
  <c r="W74" i="11"/>
  <c r="X73" i="11"/>
  <c r="W73" i="11"/>
  <c r="X72" i="11"/>
  <c r="W72" i="11"/>
  <c r="X71" i="11"/>
  <c r="W71" i="11"/>
  <c r="X70" i="11"/>
  <c r="W70" i="11"/>
  <c r="X69" i="11"/>
  <c r="W69" i="11"/>
  <c r="X68" i="11"/>
  <c r="W68" i="11"/>
  <c r="X67" i="11"/>
  <c r="W67" i="11"/>
  <c r="X65" i="11"/>
  <c r="W65" i="11"/>
  <c r="X64" i="11"/>
  <c r="W64" i="11"/>
  <c r="X63" i="11"/>
  <c r="W63" i="11"/>
  <c r="X62" i="11"/>
  <c r="W62" i="11"/>
  <c r="X61" i="11"/>
  <c r="W61" i="11"/>
  <c r="X57" i="11"/>
  <c r="W57" i="11"/>
  <c r="X56" i="11"/>
  <c r="W56" i="11"/>
  <c r="X55" i="11"/>
  <c r="W55" i="11"/>
  <c r="X54" i="11"/>
  <c r="W54" i="11"/>
  <c r="X52" i="11"/>
  <c r="W52" i="11"/>
  <c r="X51" i="11"/>
  <c r="W51" i="11"/>
  <c r="X50" i="11"/>
  <c r="W50" i="11"/>
  <c r="X49" i="11"/>
  <c r="W49" i="11"/>
  <c r="X48" i="11" l="1"/>
  <c r="W48" i="11"/>
  <c r="X43" i="11"/>
  <c r="W43" i="11"/>
  <c r="X41" i="11"/>
  <c r="W41" i="11"/>
  <c r="X40" i="11"/>
  <c r="W40" i="11"/>
  <c r="X33" i="11"/>
  <c r="W33" i="11"/>
  <c r="X32" i="11"/>
  <c r="W32" i="11"/>
  <c r="X31" i="11"/>
  <c r="W31" i="11"/>
  <c r="X30" i="11"/>
  <c r="W30" i="11"/>
  <c r="X29" i="11"/>
  <c r="W29" i="11"/>
  <c r="X28" i="11"/>
  <c r="W28" i="11"/>
  <c r="X27" i="11"/>
  <c r="W27" i="11"/>
  <c r="X26" i="11"/>
  <c r="W26" i="11"/>
  <c r="X25" i="11"/>
  <c r="W25" i="11"/>
  <c r="X22" i="11"/>
  <c r="W22" i="11"/>
  <c r="X20" i="11"/>
  <c r="W20" i="11"/>
  <c r="X16" i="11"/>
  <c r="W16" i="11"/>
  <c r="X14" i="11"/>
  <c r="W14" i="11"/>
  <c r="X12" i="11" l="1"/>
  <c r="W12" i="11"/>
  <c r="X11" i="11"/>
  <c r="W11" i="11"/>
  <c r="X10" i="11"/>
  <c r="W10" i="11"/>
  <c r="X8" i="11"/>
  <c r="W8" i="11"/>
  <c r="X7" i="11"/>
  <c r="W7" i="11"/>
  <c r="X6" i="11"/>
  <c r="W6" i="11"/>
  <c r="W7" i="15" l="1"/>
  <c r="V7" i="15"/>
  <c r="W6" i="15"/>
  <c r="V6" i="15"/>
  <c r="W14" i="9"/>
  <c r="V14" i="9"/>
  <c r="W14" i="10"/>
  <c r="V14" i="10"/>
  <c r="W13" i="10"/>
  <c r="V13" i="10"/>
  <c r="W12" i="10"/>
  <c r="V12" i="10"/>
  <c r="W8" i="10"/>
  <c r="V8" i="10"/>
  <c r="J7" i="16" l="1"/>
  <c r="I7" i="16"/>
  <c r="K24" i="6" l="1"/>
  <c r="J24" i="6"/>
  <c r="J56" i="6" l="1"/>
  <c r="K56" i="6"/>
  <c r="K48" i="6"/>
  <c r="J48" i="6"/>
  <c r="K46" i="6"/>
  <c r="J46" i="6"/>
  <c r="K45" i="6"/>
  <c r="J45" i="6"/>
  <c r="K44" i="6"/>
  <c r="J44" i="6"/>
  <c r="K43" i="6"/>
  <c r="J43" i="6"/>
  <c r="K42" i="6"/>
  <c r="J42" i="6"/>
  <c r="K36" i="6"/>
  <c r="J36" i="6"/>
  <c r="K31" i="6"/>
  <c r="J31" i="6"/>
  <c r="K27" i="6"/>
  <c r="J27" i="6"/>
  <c r="K23" i="6"/>
  <c r="J23" i="6"/>
  <c r="K144" i="5" l="1"/>
  <c r="J144" i="5"/>
  <c r="K137" i="5"/>
  <c r="J137" i="5"/>
  <c r="K116" i="5"/>
  <c r="J116" i="5"/>
  <c r="K115" i="5"/>
  <c r="J115" i="5"/>
  <c r="K110" i="5"/>
  <c r="J110" i="5"/>
  <c r="K101" i="5"/>
  <c r="J101" i="5"/>
  <c r="K100" i="5"/>
  <c r="J100" i="5"/>
  <c r="K97" i="5"/>
  <c r="J97" i="5"/>
  <c r="K94" i="5"/>
  <c r="J94" i="5"/>
  <c r="K86" i="5"/>
  <c r="J86" i="5"/>
  <c r="K84" i="5"/>
  <c r="J84" i="5"/>
  <c r="K64" i="5"/>
  <c r="J64" i="5"/>
  <c r="J60" i="5"/>
  <c r="J39" i="5"/>
  <c r="K27" i="5"/>
  <c r="K20" i="5"/>
  <c r="J20" i="5"/>
  <c r="K11" i="5"/>
  <c r="J50" i="6" l="1"/>
  <c r="J47" i="6" l="1"/>
  <c r="J20" i="6"/>
  <c r="K20" i="6"/>
  <c r="J141" i="5"/>
  <c r="J122" i="5"/>
  <c r="J118" i="5"/>
  <c r="J90" i="5"/>
  <c r="J68" i="5"/>
  <c r="J52" i="5"/>
  <c r="J18" i="6" l="1"/>
  <c r="J17" i="6"/>
  <c r="J43" i="5"/>
  <c r="J14" i="6"/>
  <c r="J30" i="5"/>
  <c r="J27" i="5"/>
  <c r="J11" i="5"/>
  <c r="J24" i="5" l="1"/>
  <c r="K118" i="5" l="1"/>
  <c r="J52" i="6"/>
  <c r="K52" i="6"/>
  <c r="K50" i="6"/>
  <c r="K122" i="5"/>
  <c r="K47" i="6"/>
  <c r="J106" i="5"/>
  <c r="K106" i="5"/>
  <c r="J102" i="5"/>
  <c r="K102" i="5"/>
  <c r="K90" i="5"/>
  <c r="J81" i="5"/>
  <c r="K81" i="5"/>
  <c r="K75" i="5"/>
  <c r="J70" i="5"/>
  <c r="K70" i="5"/>
  <c r="K68" i="5"/>
  <c r="K141" i="5"/>
  <c r="J61" i="5"/>
  <c r="K61" i="5"/>
  <c r="J140" i="5"/>
  <c r="K140" i="5"/>
  <c r="K60" i="5" l="1"/>
  <c r="K52" i="5"/>
  <c r="K18" i="6"/>
  <c r="K17" i="6"/>
  <c r="K43" i="5"/>
  <c r="K39" i="5"/>
  <c r="K9" i="6"/>
  <c r="J9" i="6"/>
  <c r="K14" i="6"/>
  <c r="K30" i="5"/>
  <c r="K28" i="5"/>
  <c r="J26" i="5"/>
  <c r="K26" i="5"/>
  <c r="K24" i="5"/>
  <c r="K23" i="5"/>
  <c r="K21" i="5"/>
  <c r="K7" i="5"/>
  <c r="K129" i="5" l="1"/>
  <c r="J129" i="5"/>
  <c r="K128" i="5"/>
  <c r="J128" i="5"/>
  <c r="K54" i="6"/>
  <c r="J54" i="6"/>
  <c r="K145" i="5"/>
  <c r="J145" i="5"/>
  <c r="K124" i="5"/>
  <c r="J124" i="5"/>
  <c r="K121" i="5"/>
  <c r="J121" i="5"/>
  <c r="K120" i="5"/>
  <c r="J120" i="5"/>
  <c r="K114" i="5"/>
  <c r="J114" i="5"/>
  <c r="K113" i="5"/>
  <c r="J113" i="5"/>
  <c r="J133" i="5"/>
  <c r="K133" i="5"/>
  <c r="K132" i="5"/>
  <c r="J132" i="5"/>
  <c r="K96" i="5"/>
  <c r="J96" i="5"/>
  <c r="J82" i="5"/>
  <c r="K82" i="5"/>
  <c r="J143" i="5"/>
  <c r="K143" i="5"/>
  <c r="J142" i="5"/>
  <c r="K142" i="5"/>
  <c r="J79" i="5"/>
  <c r="K79" i="5"/>
  <c r="J77" i="5"/>
  <c r="K77" i="5"/>
  <c r="J74" i="5"/>
  <c r="K74" i="5"/>
  <c r="K73" i="5"/>
  <c r="J73" i="5"/>
  <c r="K72" i="5"/>
  <c r="J72" i="5"/>
  <c r="J71" i="5"/>
  <c r="K71" i="5"/>
  <c r="J62" i="5"/>
  <c r="K62" i="5"/>
  <c r="K138" i="5"/>
  <c r="J138" i="5"/>
  <c r="J56" i="5"/>
  <c r="K56" i="5"/>
  <c r="K53" i="5"/>
  <c r="J53" i="5"/>
  <c r="J48" i="5"/>
  <c r="K48" i="5"/>
  <c r="J46" i="5"/>
  <c r="K46" i="5"/>
  <c r="J44" i="5" l="1"/>
  <c r="K44" i="5"/>
  <c r="J42" i="5"/>
  <c r="K42" i="5"/>
  <c r="J15" i="6"/>
  <c r="K15" i="6"/>
  <c r="J38" i="5"/>
  <c r="K38" i="5"/>
  <c r="J22" i="5"/>
  <c r="K22" i="5"/>
  <c r="J19" i="5"/>
  <c r="K19" i="5"/>
  <c r="J15" i="5"/>
  <c r="K15" i="5"/>
  <c r="J14" i="5"/>
  <c r="K14" i="5"/>
  <c r="J13" i="5"/>
  <c r="K13" i="5"/>
  <c r="J12" i="5"/>
  <c r="K12" i="5"/>
  <c r="J134" i="5"/>
  <c r="K134" i="5"/>
  <c r="I15" i="4"/>
  <c r="I14" i="4"/>
  <c r="I11" i="4"/>
  <c r="I10" i="4"/>
  <c r="I7" i="4"/>
  <c r="J7" i="4" l="1"/>
  <c r="I8" i="4"/>
  <c r="J8" i="4"/>
  <c r="I9" i="4"/>
  <c r="J9" i="4"/>
  <c r="J10" i="4"/>
  <c r="J11" i="4"/>
  <c r="I13" i="4"/>
  <c r="J13" i="4"/>
  <c r="J14" i="4"/>
  <c r="J15" i="4"/>
  <c r="J12" i="3" l="1"/>
  <c r="I12" i="3"/>
  <c r="J15" i="3" l="1"/>
  <c r="I15" i="3"/>
</calcChain>
</file>

<file path=xl/sharedStrings.xml><?xml version="1.0" encoding="utf-8"?>
<sst xmlns="http://schemas.openxmlformats.org/spreadsheetml/2006/main" count="2691" uniqueCount="540">
  <si>
    <t>Degree</t>
  </si>
  <si>
    <t>MajorID</t>
  </si>
  <si>
    <t>Public Health and Health Professions</t>
  </si>
  <si>
    <t>Audiology</t>
  </si>
  <si>
    <t xml:space="preserve">Doctor of Audiology </t>
  </si>
  <si>
    <t>D</t>
  </si>
  <si>
    <t>AUD</t>
  </si>
  <si>
    <t>Education</t>
  </si>
  <si>
    <t xml:space="preserve">Educational Leadership </t>
  </si>
  <si>
    <t xml:space="preserve">Doctor of Education </t>
  </si>
  <si>
    <t>EDA</t>
  </si>
  <si>
    <t>EDD</t>
  </si>
  <si>
    <t xml:space="preserve">Higher Education Administration </t>
  </si>
  <si>
    <t>HIE</t>
  </si>
  <si>
    <t xml:space="preserve">Marriage and Family Counseling </t>
  </si>
  <si>
    <t>EDC</t>
  </si>
  <si>
    <t xml:space="preserve">Mental Health Counseling </t>
  </si>
  <si>
    <t>ACD</t>
  </si>
  <si>
    <t xml:space="preserve">Research and Evaluation Methodology </t>
  </si>
  <si>
    <t>ERT</t>
  </si>
  <si>
    <t xml:space="preserve">School Counseling and Guidance </t>
  </si>
  <si>
    <t>SCG</t>
  </si>
  <si>
    <t xml:space="preserve">School Psychology </t>
  </si>
  <si>
    <t>SCP</t>
  </si>
  <si>
    <t xml:space="preserve">Special Education </t>
  </si>
  <si>
    <t>EDH</t>
  </si>
  <si>
    <t>Curriculum and Instruction (ISC)</t>
  </si>
  <si>
    <t>CUI</t>
  </si>
  <si>
    <t>Curriculum and Instruction  (CCD)</t>
  </si>
  <si>
    <t>CCD</t>
  </si>
  <si>
    <t>Agricultural and Life Sciences</t>
  </si>
  <si>
    <t>Plant Medicine</t>
  </si>
  <si>
    <t xml:space="preserve">Doctor of Plant Medicine </t>
  </si>
  <si>
    <t>DPM</t>
  </si>
  <si>
    <t>Engineering</t>
  </si>
  <si>
    <t>Industrial and Systems Engineering</t>
  </si>
  <si>
    <t xml:space="preserve">Engineer </t>
  </si>
  <si>
    <t>E</t>
  </si>
  <si>
    <t>ISE</t>
  </si>
  <si>
    <t>ENG</t>
  </si>
  <si>
    <t>Chemical Engineering</t>
  </si>
  <si>
    <t>CHE</t>
  </si>
  <si>
    <t>Business Administration</t>
  </si>
  <si>
    <t>Accounting</t>
  </si>
  <si>
    <t>Master of Accounting</t>
  </si>
  <si>
    <t>M</t>
  </si>
  <si>
    <t>ATG</t>
  </si>
  <si>
    <t>MACC</t>
  </si>
  <si>
    <t>Journalism and Communications</t>
  </si>
  <si>
    <t>Advertising</t>
  </si>
  <si>
    <t xml:space="preserve">Master of Advertising </t>
  </si>
  <si>
    <t>ADV</t>
  </si>
  <si>
    <t>MADV</t>
  </si>
  <si>
    <t>Food and Resource Economics</t>
  </si>
  <si>
    <t>Master of Agribusiness</t>
  </si>
  <si>
    <t>FRE</t>
  </si>
  <si>
    <t>MAB</t>
  </si>
  <si>
    <t>Design, Construction and Planning</t>
  </si>
  <si>
    <t>Architecture</t>
  </si>
  <si>
    <t xml:space="preserve">Master of Architecture </t>
  </si>
  <si>
    <t xml:space="preserve">AE </t>
  </si>
  <si>
    <t>MARCH</t>
  </si>
  <si>
    <t>Liberal Arts and Sciences</t>
  </si>
  <si>
    <t xml:space="preserve">Classical Studies </t>
  </si>
  <si>
    <t xml:space="preserve">Master of Arts </t>
  </si>
  <si>
    <t xml:space="preserve">CS </t>
  </si>
  <si>
    <t>MA</t>
  </si>
  <si>
    <t>Economics</t>
  </si>
  <si>
    <t>ES</t>
  </si>
  <si>
    <t>English</t>
  </si>
  <si>
    <t xml:space="preserve">EH </t>
  </si>
  <si>
    <t xml:space="preserve">Geography </t>
  </si>
  <si>
    <t>GPY</t>
  </si>
  <si>
    <t>German</t>
  </si>
  <si>
    <t xml:space="preserve">GN </t>
  </si>
  <si>
    <t>History</t>
  </si>
  <si>
    <t xml:space="preserve">HY </t>
  </si>
  <si>
    <t xml:space="preserve">Latin </t>
  </si>
  <si>
    <t xml:space="preserve">LN </t>
  </si>
  <si>
    <t xml:space="preserve">Latin American Studies </t>
  </si>
  <si>
    <t xml:space="preserve">LA </t>
  </si>
  <si>
    <t xml:space="preserve">Linguistics </t>
  </si>
  <si>
    <t>LIN</t>
  </si>
  <si>
    <t xml:space="preserve">Mathematics </t>
  </si>
  <si>
    <t xml:space="preserve">MS </t>
  </si>
  <si>
    <t>Fine Arts</t>
  </si>
  <si>
    <t>Museology</t>
  </si>
  <si>
    <t>MUS</t>
  </si>
  <si>
    <t xml:space="preserve">Philosophy </t>
  </si>
  <si>
    <t>PPY</t>
  </si>
  <si>
    <t xml:space="preserve">Political Science </t>
  </si>
  <si>
    <t>PCL</t>
  </si>
  <si>
    <t>Psychology</t>
  </si>
  <si>
    <t>PSY</t>
  </si>
  <si>
    <t xml:space="preserve">Religion </t>
  </si>
  <si>
    <t xml:space="preserve">RN </t>
  </si>
  <si>
    <t>Sociology</t>
  </si>
  <si>
    <t xml:space="preserve">SY </t>
  </si>
  <si>
    <t xml:space="preserve">Spanish </t>
  </si>
  <si>
    <t xml:space="preserve">SH </t>
  </si>
  <si>
    <t>Women's Studies</t>
  </si>
  <si>
    <t>WMS</t>
  </si>
  <si>
    <t>Political Science - International Relations</t>
  </si>
  <si>
    <t>INR</t>
  </si>
  <si>
    <t xml:space="preserve">Anthropology </t>
  </si>
  <si>
    <t>APY</t>
  </si>
  <si>
    <t xml:space="preserve">Art </t>
  </si>
  <si>
    <t>ART</t>
  </si>
  <si>
    <t xml:space="preserve">Art Education </t>
  </si>
  <si>
    <t>EAR</t>
  </si>
  <si>
    <t xml:space="preserve">Art History </t>
  </si>
  <si>
    <t>HYA</t>
  </si>
  <si>
    <t>BSG</t>
  </si>
  <si>
    <t>Digital Arts and Sciences (DAR)</t>
  </si>
  <si>
    <t>DAR</t>
  </si>
  <si>
    <t>Criminology, Law, and Society</t>
  </si>
  <si>
    <t>CLS</t>
  </si>
  <si>
    <t>International Business</t>
  </si>
  <si>
    <t>MIB</t>
  </si>
  <si>
    <t>Communication Sciences and Disorders</t>
  </si>
  <si>
    <t>CMS</t>
  </si>
  <si>
    <t>French and Francophone Studies</t>
  </si>
  <si>
    <t>FFS</t>
  </si>
  <si>
    <t xml:space="preserve">Early Childhood Education </t>
  </si>
  <si>
    <t>Master of Arts in Education</t>
  </si>
  <si>
    <t>PRE</t>
  </si>
  <si>
    <t>MAE</t>
  </si>
  <si>
    <t xml:space="preserve">Elementary Education </t>
  </si>
  <si>
    <t>ECD</t>
  </si>
  <si>
    <t xml:space="preserve">English Education </t>
  </si>
  <si>
    <t>EED</t>
  </si>
  <si>
    <t xml:space="preserve">Mathematics Education </t>
  </si>
  <si>
    <t xml:space="preserve">Reading Education </t>
  </si>
  <si>
    <t>RDE</t>
  </si>
  <si>
    <t xml:space="preserve">Science Education </t>
  </si>
  <si>
    <t>SCE</t>
  </si>
  <si>
    <t xml:space="preserve">Social Studies Education </t>
  </si>
  <si>
    <t>SSE</t>
  </si>
  <si>
    <t xml:space="preserve">Student Personnel in Higher Education </t>
  </si>
  <si>
    <t>SPH</t>
  </si>
  <si>
    <t>Mass Communication</t>
  </si>
  <si>
    <t xml:space="preserve">Master of Arts in Mass Communication </t>
  </si>
  <si>
    <t>COM</t>
  </si>
  <si>
    <t>MAMC</t>
  </si>
  <si>
    <t xml:space="preserve">Master of Arts in Teaching </t>
  </si>
  <si>
    <t>MAT</t>
  </si>
  <si>
    <t>Urban and Regional Planning</t>
  </si>
  <si>
    <t>Master of Arts in Urban and Regional Planning</t>
  </si>
  <si>
    <t>URP</t>
  </si>
  <si>
    <t>MAURP</t>
  </si>
  <si>
    <t>Building Construction</t>
  </si>
  <si>
    <t xml:space="preserve">Master of Building Construction </t>
  </si>
  <si>
    <t>BCN</t>
  </si>
  <si>
    <t>MBC</t>
  </si>
  <si>
    <t xml:space="preserve">Master of Business Administration </t>
  </si>
  <si>
    <t>MBA</t>
  </si>
  <si>
    <t xml:space="preserve">Master of Education </t>
  </si>
  <si>
    <t>MED</t>
  </si>
  <si>
    <t>Coastal and Oceanographic Engineering</t>
  </si>
  <si>
    <t xml:space="preserve">Master of Engineering </t>
  </si>
  <si>
    <t>COA</t>
  </si>
  <si>
    <t>ME</t>
  </si>
  <si>
    <t>Computer Engineering</t>
  </si>
  <si>
    <t>CEN</t>
  </si>
  <si>
    <t>Electrical and Computer Engineering</t>
  </si>
  <si>
    <t xml:space="preserve">EE </t>
  </si>
  <si>
    <t>Environmental Engineering Sciences</t>
  </si>
  <si>
    <t>ENE</t>
  </si>
  <si>
    <t>Materials Science and Engineering</t>
  </si>
  <si>
    <t>MTL</t>
  </si>
  <si>
    <t>Mechanical Engineering</t>
  </si>
  <si>
    <t xml:space="preserve">ME </t>
  </si>
  <si>
    <t>Nuclear Engineering Sciences</t>
  </si>
  <si>
    <t>NES</t>
  </si>
  <si>
    <t>Aerospace Engineering</t>
  </si>
  <si>
    <t>ASE</t>
  </si>
  <si>
    <t>Agricultural and Biological Engineering</t>
  </si>
  <si>
    <t>ABE</t>
  </si>
  <si>
    <t>Biomedical Engineering</t>
  </si>
  <si>
    <t>BME</t>
  </si>
  <si>
    <t>Civil Engineering</t>
  </si>
  <si>
    <t xml:space="preserve">CE </t>
  </si>
  <si>
    <t xml:space="preserve">Creative Writing </t>
  </si>
  <si>
    <t xml:space="preserve">Master of Fine Arts </t>
  </si>
  <si>
    <t>CRW</t>
  </si>
  <si>
    <t>MFA</t>
  </si>
  <si>
    <t xml:space="preserve">Theatre </t>
  </si>
  <si>
    <t>THE</t>
  </si>
  <si>
    <t>Fisheries and Aquatic Sciences</t>
  </si>
  <si>
    <t xml:space="preserve">Master of Fisheries and Aquatic Sciences </t>
  </si>
  <si>
    <t>FAS</t>
  </si>
  <si>
    <t>MFAS</t>
  </si>
  <si>
    <t>Forest Resources and Conservation</t>
  </si>
  <si>
    <t xml:space="preserve">Master of Forest Resources and Conservation </t>
  </si>
  <si>
    <t>FRC</t>
  </si>
  <si>
    <t>MFRC</t>
  </si>
  <si>
    <t>Health Administration</t>
  </si>
  <si>
    <t xml:space="preserve">Master of Health Administration </t>
  </si>
  <si>
    <t>HA</t>
  </si>
  <si>
    <t>MHA</t>
  </si>
  <si>
    <t>Occupational Therapy</t>
  </si>
  <si>
    <t xml:space="preserve">Master of Health Science </t>
  </si>
  <si>
    <t>OCT</t>
  </si>
  <si>
    <t>MHS</t>
  </si>
  <si>
    <t>Rehabilitation Counseling</t>
  </si>
  <si>
    <t xml:space="preserve">RC </t>
  </si>
  <si>
    <t>Interior Design</t>
  </si>
  <si>
    <t xml:space="preserve">Master of Interior Design </t>
  </si>
  <si>
    <t xml:space="preserve">IR </t>
  </si>
  <si>
    <t>MID</t>
  </si>
  <si>
    <t>International Construction Management</t>
  </si>
  <si>
    <t xml:space="preserve">Master of International Construction Management </t>
  </si>
  <si>
    <t>ICM</t>
  </si>
  <si>
    <t>MICM</t>
  </si>
  <si>
    <t>Landscape Architecture</t>
  </si>
  <si>
    <t xml:space="preserve">Master of Landscape Architecture </t>
  </si>
  <si>
    <t>LAE</t>
  </si>
  <si>
    <t>MLARCH</t>
  </si>
  <si>
    <t xml:space="preserve">Master of Latin </t>
  </si>
  <si>
    <t>ML</t>
  </si>
  <si>
    <t>Law</t>
  </si>
  <si>
    <t>Comparative Law</t>
  </si>
  <si>
    <t xml:space="preserve">Master of Laws in Comparative Law </t>
  </si>
  <si>
    <t>CLW</t>
  </si>
  <si>
    <t>LLMCL</t>
  </si>
  <si>
    <t>Taxation</t>
  </si>
  <si>
    <t xml:space="preserve">Master of Laws in Taxation </t>
  </si>
  <si>
    <t>TAX</t>
  </si>
  <si>
    <t>LLMT</t>
  </si>
  <si>
    <t xml:space="preserve">Music </t>
  </si>
  <si>
    <t xml:space="preserve">Master of Music </t>
  </si>
  <si>
    <t>MUA</t>
  </si>
  <si>
    <t>MM</t>
  </si>
  <si>
    <t xml:space="preserve">Music Education </t>
  </si>
  <si>
    <t>MUE</t>
  </si>
  <si>
    <t>Public Health</t>
  </si>
  <si>
    <t xml:space="preserve">Master of Public Health </t>
  </si>
  <si>
    <t>MPH</t>
  </si>
  <si>
    <t xml:space="preserve">Master of Science </t>
  </si>
  <si>
    <t>MS</t>
  </si>
  <si>
    <t>Computer Sciences</t>
  </si>
  <si>
    <t>CSC</t>
  </si>
  <si>
    <t>Dentistry</t>
  </si>
  <si>
    <t>Dental Sciences</t>
  </si>
  <si>
    <t>PRO</t>
  </si>
  <si>
    <t>Digital Arts and Sciences (DAS)</t>
  </si>
  <si>
    <t>DAS</t>
  </si>
  <si>
    <t>Entomology and Nematology</t>
  </si>
  <si>
    <t xml:space="preserve">EY </t>
  </si>
  <si>
    <t>Family, Youth and Community Sciences</t>
  </si>
  <si>
    <t>FYC</t>
  </si>
  <si>
    <t>Food Science and Human Nutrition</t>
  </si>
  <si>
    <t xml:space="preserve">FS </t>
  </si>
  <si>
    <t xml:space="preserve">Geology </t>
  </si>
  <si>
    <t xml:space="preserve">GY </t>
  </si>
  <si>
    <t>Health and Human Performance</t>
  </si>
  <si>
    <t>Health Education and Behavior</t>
  </si>
  <si>
    <t>HED</t>
  </si>
  <si>
    <t>Horticultural Science</t>
  </si>
  <si>
    <t>HS</t>
  </si>
  <si>
    <t>Interdisciplinary Ecology</t>
  </si>
  <si>
    <t>ECL</t>
  </si>
  <si>
    <t>Medicine</t>
  </si>
  <si>
    <t>Medical Sciences</t>
  </si>
  <si>
    <t>MDM</t>
  </si>
  <si>
    <t xml:space="preserve">Microbiology and Cell Science </t>
  </si>
  <si>
    <t>MCB</t>
  </si>
  <si>
    <t xml:space="preserve">Physics </t>
  </si>
  <si>
    <t xml:space="preserve">PS </t>
  </si>
  <si>
    <t xml:space="preserve">Plant Molecular and Cellular Biology </t>
  </si>
  <si>
    <t>PMB</t>
  </si>
  <si>
    <t>Plant Pathology</t>
  </si>
  <si>
    <t xml:space="preserve">PT </t>
  </si>
  <si>
    <t xml:space="preserve">Soil and Water Science </t>
  </si>
  <si>
    <t>SLS</t>
  </si>
  <si>
    <t>Veterinary Medicine</t>
  </si>
  <si>
    <t>Veterinary Medical Sciences</t>
  </si>
  <si>
    <t>VMS</t>
  </si>
  <si>
    <t>Wildlife Ecology and Conservation</t>
  </si>
  <si>
    <t>WIE</t>
  </si>
  <si>
    <t xml:space="preserve">Zoology </t>
  </si>
  <si>
    <t xml:space="preserve">ZY </t>
  </si>
  <si>
    <t>Agricultural Education and Communication</t>
  </si>
  <si>
    <t>AEC</t>
  </si>
  <si>
    <t>Agronomy</t>
  </si>
  <si>
    <t xml:space="preserve">AY </t>
  </si>
  <si>
    <t>Animal Sciences</t>
  </si>
  <si>
    <t xml:space="preserve">AL </t>
  </si>
  <si>
    <t xml:space="preserve">Astronomy </t>
  </si>
  <si>
    <t>ATY</t>
  </si>
  <si>
    <t xml:space="preserve">Biochemistry and Molecular Biology </t>
  </si>
  <si>
    <t>BCH</t>
  </si>
  <si>
    <t xml:space="preserve">Botany </t>
  </si>
  <si>
    <t>BTY</t>
  </si>
  <si>
    <t xml:space="preserve">Chemistry </t>
  </si>
  <si>
    <t xml:space="preserve">CY </t>
  </si>
  <si>
    <t>Epidemiology</t>
  </si>
  <si>
    <t>EPI</t>
  </si>
  <si>
    <t>Sport Management</t>
  </si>
  <si>
    <t>SPM</t>
  </si>
  <si>
    <t>Management</t>
  </si>
  <si>
    <t>MGT</t>
  </si>
  <si>
    <t>Applied Physiology and Kinesiology</t>
  </si>
  <si>
    <t>APK</t>
  </si>
  <si>
    <t>Recreation, Parks, and Tourism</t>
  </si>
  <si>
    <t>RPT</t>
  </si>
  <si>
    <t>Finance</t>
  </si>
  <si>
    <t>FIN</t>
  </si>
  <si>
    <t>Real Estate</t>
  </si>
  <si>
    <t>REE</t>
  </si>
  <si>
    <t>Animal Molecular and Cellular Biology</t>
  </si>
  <si>
    <t>AMC</t>
  </si>
  <si>
    <t>Entrepreneurship</t>
  </si>
  <si>
    <t>MEO</t>
  </si>
  <si>
    <t>Biostatistics</t>
  </si>
  <si>
    <t>BIS</t>
  </si>
  <si>
    <t>Information Systems and Operations Management</t>
  </si>
  <si>
    <t>MST</t>
  </si>
  <si>
    <t xml:space="preserve">Master of Science in Architectural Studies </t>
  </si>
  <si>
    <t>MSAS</t>
  </si>
  <si>
    <t xml:space="preserve">Master of Science in Building Construction </t>
  </si>
  <si>
    <t>MSBC</t>
  </si>
  <si>
    <t>Nursing</t>
  </si>
  <si>
    <t xml:space="preserve">Master of Science in Nursing </t>
  </si>
  <si>
    <t>NSG</t>
  </si>
  <si>
    <t>MSNSG</t>
  </si>
  <si>
    <t>Pharmacy</t>
  </si>
  <si>
    <t>Pharmaceutical Sciences</t>
  </si>
  <si>
    <t xml:space="preserve">Master of Science in Pharmacy </t>
  </si>
  <si>
    <t>PHS</t>
  </si>
  <si>
    <t>MSP</t>
  </si>
  <si>
    <t>Statistics</t>
  </si>
  <si>
    <t xml:space="preserve">Master of Science in Statistics </t>
  </si>
  <si>
    <t>STA</t>
  </si>
  <si>
    <t>MSSTAT</t>
  </si>
  <si>
    <t xml:space="preserve">Master of Science in Teaching </t>
  </si>
  <si>
    <t xml:space="preserve">Master of Statistics </t>
  </si>
  <si>
    <t>MSTAT</t>
  </si>
  <si>
    <t xml:space="preserve">Specialist in Education </t>
  </si>
  <si>
    <t>S</t>
  </si>
  <si>
    <t>EDS</t>
  </si>
  <si>
    <t/>
  </si>
  <si>
    <t>Juris Doctor</t>
  </si>
  <si>
    <t>L</t>
  </si>
  <si>
    <t>JD</t>
  </si>
  <si>
    <t>Doctor of Medicine</t>
  </si>
  <si>
    <t>X</t>
  </si>
  <si>
    <t>MD</t>
  </si>
  <si>
    <t>Doctor of Dental Medicine</t>
  </si>
  <si>
    <t>F</t>
  </si>
  <si>
    <t>DMD</t>
  </si>
  <si>
    <t>Master of Occupational Therapy</t>
  </si>
  <si>
    <t>MOT</t>
  </si>
  <si>
    <t>International Taxation</t>
  </si>
  <si>
    <t>Master of Laws in International Taxation</t>
  </si>
  <si>
    <t>TXI</t>
  </si>
  <si>
    <t>LLMIT</t>
  </si>
  <si>
    <t>Environmental and Land Use Law</t>
  </si>
  <si>
    <t>Master of Laws in Environmental and Land Use Law</t>
  </si>
  <si>
    <t>ELU</t>
  </si>
  <si>
    <t>LLMELU</t>
  </si>
  <si>
    <t>Historic Preservation</t>
  </si>
  <si>
    <t>Master of Historic Preservation</t>
  </si>
  <si>
    <t>HP</t>
  </si>
  <si>
    <t>MHP</t>
  </si>
  <si>
    <t>Sustainable Development Practice</t>
  </si>
  <si>
    <t>Master of Sustainable Development Practice</t>
  </si>
  <si>
    <t>SDP</t>
  </si>
  <si>
    <t>MSDP</t>
  </si>
  <si>
    <t>Yrs to Completion</t>
  </si>
  <si>
    <t>MIN THESIS HOURS</t>
  </si>
  <si>
    <t>MIN NON-THESIS HOURS</t>
  </si>
  <si>
    <t xml:space="preserve">A. Input </t>
  </si>
  <si>
    <t>1.      Current number of enrolled students</t>
  </si>
  <si>
    <t>o  Data Source: GIMS and Registrar</t>
  </si>
  <si>
    <t>2.      Current percent of minority students</t>
  </si>
  <si>
    <t>o  Data Source:  Office of Admissions</t>
  </si>
  <si>
    <t>o  Data Source:  Office of Admissions, Registrar, GIMS</t>
  </si>
  <si>
    <t>B. Process Output</t>
  </si>
  <si>
    <t xml:space="preserve">C. Outcomes </t>
  </si>
  <si>
    <t>o  Calculation: Number of graduated students in the cohort divided by total number of students in the cohort</t>
  </si>
  <si>
    <t>o  Data Source: GIMS</t>
  </si>
  <si>
    <t>Applications &amp; Enrollment</t>
  </si>
  <si>
    <r>
      <t xml:space="preserve">      </t>
    </r>
    <r>
      <rPr>
        <sz val="12"/>
        <color theme="1"/>
        <rFont val="Calibri"/>
        <family val="2"/>
        <scheme val="minor"/>
      </rPr>
      <t xml:space="preserve">     1. Average number applied over 5-yr. period</t>
    </r>
  </si>
  <si>
    <r>
      <t xml:space="preserve">         </t>
    </r>
    <r>
      <rPr>
        <sz val="12"/>
        <color theme="1"/>
        <rFont val="Calibri"/>
        <family val="2"/>
        <scheme val="minor"/>
      </rPr>
      <t xml:space="preserve">  2. Average number admitted over 5-yr. period</t>
    </r>
  </si>
  <si>
    <r>
      <t xml:space="preserve">          </t>
    </r>
    <r>
      <rPr>
        <sz val="12"/>
        <color theme="1"/>
        <rFont val="Calibri"/>
        <family val="2"/>
        <scheme val="minor"/>
      </rPr>
      <t xml:space="preserve"> 3. Average number newly enrolled over 5-yr. period</t>
    </r>
  </si>
  <si>
    <t>Entering Academic Credentials</t>
  </si>
  <si>
    <t xml:space="preserve">           4. Average GPA of applicants over a 5-yr. period</t>
  </si>
  <si>
    <t xml:space="preserve">           5. Average GPA of admits over a 5-yr. period</t>
  </si>
  <si>
    <t xml:space="preserve">           6. Average GPA of enrollees over a 5-yr. period</t>
  </si>
  <si>
    <t xml:space="preserve">           7. Average Quantative GRE scores of applicants over a 5-yr. period</t>
  </si>
  <si>
    <t xml:space="preserve">           9. Average Quantative GRE scores of enrollees over a 5-yr. period</t>
  </si>
  <si>
    <t xml:space="preserve">           10. Average Verbal GRE scores of applicants over a 5-yr. period</t>
  </si>
  <si>
    <t xml:space="preserve">           11. Average Verbal GRE scores of admits over a 5-yr. period</t>
  </si>
  <si>
    <t xml:space="preserve">           12. Average Verbal GRE scores of enrollees over a 5-yr. period</t>
  </si>
  <si>
    <t>Minority, Gender, and International Student Data</t>
  </si>
  <si>
    <t>o  Data Source:  Registrar</t>
  </si>
  <si>
    <t>Funded Students</t>
  </si>
  <si>
    <t>o  Data Source:  GIMS, Registrar, and Academic Personnel (Human Resources)</t>
  </si>
  <si>
    <t xml:space="preserve"> </t>
  </si>
  <si>
    <t>5.      Median time-to-degree (in years): Based on from the time student actually entered the non-PhD program.</t>
  </si>
  <si>
    <t>Quantitative Indicators</t>
  </si>
  <si>
    <t>Process Output</t>
  </si>
  <si>
    <t xml:space="preserve"> Outcomes</t>
  </si>
  <si>
    <t>College</t>
  </si>
  <si>
    <t>Program</t>
  </si>
  <si>
    <t>Additive Data</t>
  </si>
  <si>
    <t>Funded students</t>
  </si>
  <si>
    <t>Programs</t>
  </si>
  <si>
    <t>Average number
applied 
over 5-yr. period</t>
  </si>
  <si>
    <t>Average number
admitted over 5-yr. period</t>
  </si>
  <si>
    <t>Average number
enrolled
 over 5-yr. period</t>
  </si>
  <si>
    <t>Average
 GPA of applicants
over a 5-yr. period</t>
  </si>
  <si>
    <t>Average
 GPA of admits 
over a 5-yr. period</t>
  </si>
  <si>
    <t>Average
 GPA of enrollees over a 5-yr. period</t>
  </si>
  <si>
    <t>Average Quantative
GRE scores of applicants over a 5-yr. period</t>
  </si>
  <si>
    <t>Average Quantative  
GRE scores of admits over a 5-yr. period</t>
  </si>
  <si>
    <t>Average Quantative
GRE scores of enrollees over a 5-yr. period</t>
  </si>
  <si>
    <t>Average Verbal
GRE scores of applicants over a 5-yr. period</t>
  </si>
  <si>
    <t>Average Verbal
GRE scores of admits over a 5-yr. period</t>
  </si>
  <si>
    <t>Average Verbal
GRE scores of enrollees over a 5-yr. period</t>
  </si>
  <si>
    <t>Average percent of minority students applied over a 5-yr. period</t>
  </si>
  <si>
    <t>Average 
percent of minority student admits over a 5-yr. period</t>
  </si>
  <si>
    <t>Average 
percent of minority student enrollees over a 5-yr. period</t>
  </si>
  <si>
    <t>Average percent of female students over a 5-yr. period</t>
  </si>
  <si>
    <t>Average percent of international students over a 5-yr. period</t>
  </si>
  <si>
    <t>Curriculum and Instruction</t>
  </si>
  <si>
    <t>Quantitative Criterion Indicator Descriptions for 2013</t>
  </si>
  <si>
    <t>o   Summer 2008 through spring 2013</t>
  </si>
  <si>
    <t>o  Calculation: Number of attrited students in the cohort (non-enrolled as of Spring 2013) divided by total number of students in the cohort</t>
  </si>
  <si>
    <t>Quantitative Additive Data Descriptions for 2013</t>
  </si>
  <si>
    <t xml:space="preserve">o  Calculation: Number of applicants (Summer 2008 through Spring 2013) divided by 5 </t>
  </si>
  <si>
    <t xml:space="preserve">o  Calculation: Number of admits (Summer 2008 through Spring 2013) divided by 5 </t>
  </si>
  <si>
    <t xml:space="preserve">o  Calculation: Number of new enrollees (Summer 2008 through Spring 2013) divided by 5 </t>
  </si>
  <si>
    <t>o  Calculation: Total self-reported GPA of all applicants (Summer 2008 through Spring 2013) divided by the number of applicants who reported their GPA</t>
  </si>
  <si>
    <t>o  Calculation: Total self-reported GPA of all admits(Summer 2008 through Spring 2013) divided by the number of admits who reported their GPA</t>
  </si>
  <si>
    <t>o  Calculation: Total self-reported GPA of all new enrollees (Summer 2008 through Spring 2013) divided by the number of enrollees who reported their GPA</t>
  </si>
  <si>
    <t>o  Calculation: Total Quantative GRE of all applicants (Summer 2008 through Spring 2013) divided by the number of applicants whose GRE scores are posted</t>
  </si>
  <si>
    <t>o  Calculation: Total Quantative GRE of all admits (Summer 2008 through Spring 2013) divided by the number of admits whose GRE scores are posted</t>
  </si>
  <si>
    <t>o  Calculation: Total Quantative GRE of all new enrollees (Summer 2008 through Spring 2013) divided by the number of new enrollees whose GRE scores are posted</t>
  </si>
  <si>
    <t>o  Calculation: Total Verbal GRE of all applicants (Summer 2008 through Spring 2013) divided by the number of applicants whose GRE scores are posted</t>
  </si>
  <si>
    <t>o  Calculation: Total Verbal GRE of all admits (Summer 2008 through Spring 2013) divided by the number of admits whose GRE scores are posted</t>
  </si>
  <si>
    <t>o  Calculation: Total Verbal GRE of all new enrollees (Summer 2008 through Spring 2013) divided by the number of new enrollees whose GRE scores are posted</t>
  </si>
  <si>
    <t xml:space="preserve">2013-2014 PROFESSIONAL DOCTORAL PROGRAM ASSESSMENT SPREAD SHEET </t>
  </si>
  <si>
    <t>2013-2014 PROFESSIONAL SPECIALIST PROGRAM ASSESSMENT SPREAD SHEET  (Additive)</t>
  </si>
  <si>
    <t>2013-2014 PROFESSIONAL ENGINEER PROGRAM ASSESSMENT SPREAD SHEET  (Additive)</t>
  </si>
  <si>
    <t>Total number of students enrolled: Fall 2013</t>
  </si>
  <si>
    <t>Percent of minority students: Fall 2013</t>
  </si>
  <si>
    <t>Number of Fall 2013 students funded on assistantship and/or fellowship</t>
  </si>
  <si>
    <t>Percent of Fall 2013 students funded on assistantship and/or fellowship</t>
  </si>
  <si>
    <t>Master of Science in Building Construction</t>
  </si>
  <si>
    <t>n/a</t>
  </si>
  <si>
    <r>
      <t xml:space="preserve">6.      Attrition rate for non-PhD students first enrolled from </t>
    </r>
    <r>
      <rPr>
        <sz val="12"/>
        <rFont val="Calibri"/>
        <family val="2"/>
        <scheme val="minor"/>
      </rPr>
      <t>summer 2006 to spring 2009</t>
    </r>
  </si>
  <si>
    <t>7.      Completion rate for non-PhD students first enrolled from summer 2006 to spring 2009</t>
  </si>
  <si>
    <t>8.       non-PhD degrees awarded 2008-2013</t>
  </si>
  <si>
    <t>3.      The percent of non-PhD applicants who were offered admission</t>
  </si>
  <si>
    <t>4.      The percent of admitted non-PhD applicants who matriculated</t>
  </si>
  <si>
    <t>Percent of applicants who were offered admission: 2008-2013</t>
  </si>
  <si>
    <t>Percent of admitted applicants who matriculated: 2008-2013</t>
  </si>
  <si>
    <t>Attrition Rate for 2006-2009 matriculants</t>
  </si>
  <si>
    <t>Completion Rate for 2006-2009 matriculants</t>
  </si>
  <si>
    <t>Completion Rate for 2006-2009 minority matriculants</t>
  </si>
  <si>
    <t xml:space="preserve">Attrition Rate for 2006-2009 minority matriculants </t>
  </si>
  <si>
    <t>o  Enrollment status for this cohort was determined spring 2013</t>
  </si>
  <si>
    <t xml:space="preserve">o  Calculation: Number of graduated students in the cohort divided by total number of students in the cohort </t>
  </si>
  <si>
    <t>o  Data Source: GIMS and Registrar. Number of enrolled non-PhD students in October 2013 who identified themselves as Black American, Hispanic/Latino  or American Indian</t>
  </si>
  <si>
    <t>o  non-PhD degree awarded by spring 2013</t>
  </si>
  <si>
    <t>o  Summer 2008 through spring 2013</t>
  </si>
  <si>
    <t>o  Total number of non-PhD students enrolled in October 2013</t>
  </si>
  <si>
    <t>o  Degrees conferred summer 2008 through spring 2013</t>
  </si>
  <si>
    <t xml:space="preserve">           8. Average Quantative GRE scores of admits over a 5-yr. period</t>
  </si>
  <si>
    <t>o  Data Source: GIMS and Registrar. Number of attrited students in the cohort who identified themselves as Black American, Hispanic/Latino or American Indian/Native Alaskan</t>
  </si>
  <si>
    <t>o  Data Source: GIMS and Registrar. Number of enrolled students in October 2013 who identified themselves as Black American, Hispanic/Latino or American Indian/Native Alaskan</t>
  </si>
  <si>
    <t>o   Percent of enrolled non-PhD students in October 2013 who identified themselves as Black American, Hispanic/Latino or American Indian/Native Alaskan</t>
  </si>
  <si>
    <t xml:space="preserve">o  Calculation:  Number of applicants who identified themselves as Black American, Hispanic/Latino or American Indian/Native Alaskan divided by Total number of applicants (Summer 2008 through Spring 2013) </t>
  </si>
  <si>
    <t xml:space="preserve">o  Calculation:  Number of admits who identified themselves as Black American, Hispanic/Latino or American Indian/Native Alaskan divided by Total number of admits (Summer 2008 through Spring 2013) </t>
  </si>
  <si>
    <t>o  Calculation: Number of new matriculants divided by number of admitted</t>
  </si>
  <si>
    <t>o  Data Source: Office of Admissions, Registrar, GIMS</t>
  </si>
  <si>
    <t>o  Calculation: Number of admitted divided by number of applicants</t>
  </si>
  <si>
    <t>o  Data Source: Office of Admissions</t>
  </si>
  <si>
    <t>o  Calculation: No. of  Fall 2013 students funded on assistantship and/or fellowship divided by total number of non-PhD students enrolled in October 2013</t>
  </si>
  <si>
    <t>o  Calculation:  Number of enrolled non-PhD students in October 2013 who identified themselves as Black American, Hispanic/Latino or American Indian/Native Alaskan divided by total number of non-PhD students enrolled in October 2013</t>
  </si>
  <si>
    <t xml:space="preserve">o  Calculation:  Number of new enrollees who identified themselves as Black American, Hispanic/Latino or American Indian/Native Alaskan divided by total number of new enrollees  (Summer 2008 through Spring 2013) </t>
  </si>
  <si>
    <t>Number of program graduates: Summer 2008 - Spring 2013</t>
  </si>
  <si>
    <t>Curriculum and Instruction  (CUI, CCD)</t>
  </si>
  <si>
    <t>437/521</t>
  </si>
  <si>
    <t>o  Students who are PhD students at the same time as pursuing a non-PhD degree are not counted</t>
  </si>
  <si>
    <t>Master of Forest Resources and Conservation</t>
  </si>
  <si>
    <t>Environmental and Global Health</t>
  </si>
  <si>
    <t>Masters of Health Science</t>
  </si>
  <si>
    <t>EGH</t>
  </si>
  <si>
    <t>Average GPA of enrollees over a 5-yr. period</t>
  </si>
  <si>
    <t>Average GPA of admits over a 5-yr. period</t>
  </si>
  <si>
    <t>Average GPA of applicants over a 5-yr. period</t>
  </si>
  <si>
    <t>Average number
enrolled over 5-yr. period</t>
  </si>
  <si>
    <t>Average number applied over 5-yr. period</t>
  </si>
  <si>
    <t>Average number
applied over 5-yr. period</t>
  </si>
  <si>
    <t>Average number admitted over 5-yr. period</t>
  </si>
  <si>
    <t>Average number enrolled over 5-yr. period</t>
  </si>
  <si>
    <t>Average
 GPA of applicants over a 5-yr. period</t>
  </si>
  <si>
    <t>Average GPA of admits 
over a 5-yr. period</t>
  </si>
  <si>
    <t>Median Time-to-Degree: Summer 2008-Spring 2013</t>
  </si>
  <si>
    <t>Median Time-to-Degree: Summer 2008 - Spring 2013</t>
  </si>
  <si>
    <t>o  Calculation:  Total number of females enrolled in Fall semesters divided by total number of enrolled in Fall semesters (2011 to 2013)</t>
  </si>
  <si>
    <t>o  Calculation:  Total number of internationals enrolled in Fall semesters divided by total number of enrolled in Fall semesters (2011 to 2013)</t>
  </si>
  <si>
    <t>Average percent of female students over a 3-yr. period</t>
  </si>
  <si>
    <t>Average percent of international students over a 3-yr. period</t>
  </si>
  <si>
    <t xml:space="preserve">           13. Average percent of minority students applied over a 5-yr. period</t>
  </si>
  <si>
    <t xml:space="preserve">           14. Average percent of minority student admits over a 5-yr. period</t>
  </si>
  <si>
    <t xml:space="preserve">           15. Average percent of minority student enrollees over a 5-yr. period</t>
  </si>
  <si>
    <t xml:space="preserve">           16. Average percent of female students over a 3-yr. period</t>
  </si>
  <si>
    <t xml:space="preserve">           17. Average percent of international students over a 3-yr. period</t>
  </si>
  <si>
    <t xml:space="preserve">           18. Minority enrollment Fall 2013</t>
  </si>
  <si>
    <t xml:space="preserve">            20. Completion Rate for non-PhD minority students who first enrolled from summer 2006 to spring 2009</t>
  </si>
  <si>
    <t xml:space="preserve">           21. No. of  Fall 2013 students funded on assistantship and/or fellowship</t>
  </si>
  <si>
    <t xml:space="preserve">           22. Percent of Fall 2013 students funded on assistantship and/or fellowship</t>
  </si>
  <si>
    <t xml:space="preserve">2013-2014 Non-PHD PROGRAM ASSESSMENT SPREAD SHEET </t>
  </si>
  <si>
    <t>2013-2014  PROFESSIONAL DOCTORAL PROGRAM ASSESSMENT SPREAD SHEET  (Additive)</t>
  </si>
  <si>
    <t>2013-2014 DOCTOR OF EDUCATION PROGRAM ASSESSMENT SPREAD SHEET  (Additive)</t>
  </si>
  <si>
    <t xml:space="preserve">2013-2014 DOCTOR OF EDUCATION PROGRAM ASSESSMENT SPREAD SHEET </t>
  </si>
  <si>
    <t xml:space="preserve">           19. Attrition Rate for non-PhD minority students who first enrolled from summer 2006 to spring 2009</t>
  </si>
  <si>
    <t>INPUT</t>
  </si>
  <si>
    <t xml:space="preserve">2013-2014 PROFESSIONAL SPECIALIST PROGRAM ASSESSMENT SPREAD SHEET </t>
  </si>
  <si>
    <t>2013-2014 MASTERS (ONE YEAR) PROGRAM ASSESSMENT SPREAD SHEET  (Additive)</t>
  </si>
  <si>
    <t>2013-2014 MASTERS (TWO YEAR) PROGRAM ASSESSMENT SPREAD SHEET  (Additive)</t>
  </si>
  <si>
    <t xml:space="preserve">2013-2014 PROFESSIONAL ENGINEER PROGRAM ASSESSMENT SPREAD SHEET </t>
  </si>
  <si>
    <t>Major</t>
  </si>
  <si>
    <t>Degree Code</t>
  </si>
  <si>
    <t>Degree Type</t>
  </si>
  <si>
    <t>Major Code</t>
  </si>
  <si>
    <t>o  All non-PhD degree recipients from summer 2011 through spring 2013 for Master degrees, summer 2008 through spring 2013 for Specialist and Doctorate degrees, and summer 2010 through spring 2013 for Engineering degrees</t>
  </si>
  <si>
    <t>Median Time-to-Degree: Summer 2011 - Spring 2013</t>
  </si>
  <si>
    <t>Median Time-to-Degree: Summer 2010 - Spring 2013</t>
  </si>
  <si>
    <t>Minority enrollment Fall 2013</t>
  </si>
  <si>
    <t>Program Terminated</t>
  </si>
  <si>
    <t>3*</t>
  </si>
  <si>
    <t>4*</t>
  </si>
  <si>
    <t xml:space="preserve">*The data for columns 3 and 4 are  missing because  Admissions and the College of Ed only begin to track EdD and PhD applications separately  in Spring 2014. </t>
  </si>
  <si>
    <t xml:space="preserve">2013-2014 MASTER'S (TWO YEAR) PROGRAM ASSESSMENT SPREAD SHEET </t>
  </si>
  <si>
    <t xml:space="preserve">2013-2014 MASTER'S (ONE YEAR) PROGRAM ASSESSMENT SPREAD SHEET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</si>
</sst>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9" x14ac:knownFonts="1">
    <font>
      <sz val="11"/>
      <color theme="1"/>
      <name val="Calibri"/>
      <family val="2"/>
      <scheme val="minor"/>
    </font>
    <font>
      <sz val="11"/>
      <color theme="1"/>
      <name val="Cambria"/>
      <family val="2"/>
    </font>
    <font>
      <sz val="11"/>
      <color theme="1"/>
      <name val="Cambria"/>
      <family val="2"/>
    </font>
    <font>
      <sz val="11"/>
      <color theme="1"/>
      <name val="Cambria"/>
      <family val="2"/>
    </font>
    <font>
      <sz val="11"/>
      <color indexed="8"/>
      <name val="Calibri"/>
      <family val="2"/>
    </font>
    <font>
      <sz val="10"/>
      <color indexed="8"/>
      <name val="Arial"/>
      <family val="2"/>
    </font>
    <font>
      <b/>
      <sz val="11"/>
      <color theme="1"/>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u/>
      <sz val="11"/>
      <color theme="1"/>
      <name val="Calibri"/>
      <family val="2"/>
      <scheme val="minor"/>
    </font>
    <font>
      <u/>
      <sz val="11"/>
      <color theme="1"/>
      <name val="Calibri"/>
      <family val="2"/>
      <scheme val="minor"/>
    </font>
    <font>
      <sz val="10"/>
      <name val="Arial"/>
      <family val="2"/>
    </font>
    <font>
      <b/>
      <sz val="14"/>
      <color indexed="8"/>
      <name val="Calibri"/>
      <family val="2"/>
    </font>
    <font>
      <b/>
      <sz val="10"/>
      <name val="Arial"/>
      <family val="2"/>
    </font>
    <font>
      <sz val="11"/>
      <name val="Calibri"/>
      <family val="2"/>
      <scheme val="minor"/>
    </font>
    <font>
      <sz val="11"/>
      <color theme="1"/>
      <name val="Calibri"/>
      <family val="2"/>
    </font>
    <font>
      <sz val="11"/>
      <name val="Calibri"/>
      <family val="2"/>
    </font>
    <font>
      <sz val="11"/>
      <color indexed="8"/>
      <name val="Calibri"/>
      <family val="2"/>
      <scheme val="minor"/>
    </font>
    <font>
      <sz val="10"/>
      <color indexed="8"/>
      <name val="Arial"/>
      <family val="2"/>
    </font>
    <font>
      <sz val="10"/>
      <color theme="1"/>
      <name val="Arial"/>
      <family val="2"/>
    </font>
    <font>
      <sz val="10"/>
      <name val="MS Sans Serif"/>
      <family val="2"/>
    </font>
    <font>
      <u/>
      <sz val="11"/>
      <name val="Calibri"/>
      <family val="2"/>
      <scheme val="minor"/>
    </font>
    <font>
      <b/>
      <sz val="11"/>
      <color theme="1"/>
      <name val="Calibri"/>
      <family val="2"/>
    </font>
    <font>
      <sz val="11"/>
      <color rgb="FF1F497D"/>
      <name val="Calibri"/>
      <family val="2"/>
      <scheme val="minor"/>
    </font>
  </fonts>
  <fills count="13">
    <fill>
      <patternFill patternType="none"/>
    </fill>
    <fill>
      <patternFill patternType="gray125"/>
    </fill>
    <fill>
      <patternFill patternType="solid">
        <fgColor indexed="22"/>
        <bgColor indexed="0"/>
      </patternFill>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indexed="13"/>
        <bgColor indexed="64"/>
      </patternFill>
    </fill>
    <fill>
      <patternFill patternType="solid">
        <fgColor theme="7" tint="0.79998168889431442"/>
        <bgColor indexed="64"/>
      </patternFill>
    </fill>
    <fill>
      <patternFill patternType="solid">
        <fgColor rgb="FFFF6699"/>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s>
  <cellStyleXfs count="24">
    <xf numFmtId="0" fontId="0" fillId="0" borderId="0"/>
    <xf numFmtId="0" fontId="5" fillId="0" borderId="0"/>
    <xf numFmtId="9" fontId="11" fillId="0" borderId="0" applyFont="0" applyFill="0" applyBorder="0" applyAlignment="0" applyProtection="0"/>
    <xf numFmtId="0" fontId="5" fillId="0" borderId="0"/>
    <xf numFmtId="0" fontId="5" fillId="0" borderId="0"/>
    <xf numFmtId="0" fontId="23" fillId="0" borderId="0"/>
    <xf numFmtId="0" fontId="5" fillId="0" borderId="0"/>
    <xf numFmtId="0" fontId="5" fillId="0" borderId="0"/>
    <xf numFmtId="0" fontId="5" fillId="0" borderId="0"/>
    <xf numFmtId="0" fontId="5" fillId="0" borderId="0"/>
    <xf numFmtId="0" fontId="3" fillId="0" borderId="0"/>
    <xf numFmtId="0" fontId="2" fillId="0" borderId="0"/>
    <xf numFmtId="0" fontId="11" fillId="0" borderId="0"/>
    <xf numFmtId="9" fontId="11" fillId="0" borderId="0" applyFont="0" applyFill="0" applyBorder="0" applyAlignment="0" applyProtection="0"/>
    <xf numFmtId="0" fontId="2" fillId="0" borderId="0"/>
    <xf numFmtId="0" fontId="25" fillId="0" borderId="0"/>
    <xf numFmtId="9" fontId="25" fillId="0" borderId="0" applyFont="0" applyFill="0" applyBorder="0" applyAlignment="0" applyProtection="0"/>
    <xf numFmtId="0" fontId="1" fillId="0" borderId="0"/>
    <xf numFmtId="9" fontId="1" fillId="0" borderId="0" applyFont="0" applyFill="0" applyBorder="0" applyAlignment="0" applyProtection="0"/>
    <xf numFmtId="0" fontId="11" fillId="0" borderId="0"/>
    <xf numFmtId="9" fontId="11" fillId="0" borderId="0" applyFont="0" applyFill="0" applyBorder="0" applyAlignment="0" applyProtection="0"/>
    <xf numFmtId="0" fontId="1" fillId="0" borderId="0"/>
    <xf numFmtId="0" fontId="1" fillId="0" borderId="0"/>
    <xf numFmtId="0" fontId="1" fillId="0" borderId="0"/>
  </cellStyleXfs>
  <cellXfs count="224">
    <xf numFmtId="0" fontId="0" fillId="0" borderId="0" xfId="0"/>
    <xf numFmtId="0" fontId="4" fillId="2" borderId="1" xfId="1" applyFont="1" applyFill="1" applyBorder="1" applyAlignment="1">
      <alignment horizontal="center" shrinkToFit="1"/>
    </xf>
    <xf numFmtId="0" fontId="4" fillId="0" borderId="1" xfId="1" applyFont="1" applyFill="1" applyBorder="1" applyAlignment="1">
      <alignment horizontal="right" shrinkToFit="1"/>
    </xf>
    <xf numFmtId="0" fontId="4" fillId="0" borderId="1" xfId="1" applyFont="1" applyFill="1" applyBorder="1" applyAlignment="1">
      <alignment shrinkToFit="1"/>
    </xf>
    <xf numFmtId="0" fontId="5" fillId="0" borderId="1" xfId="1" applyBorder="1" applyAlignment="1">
      <alignment shrinkToFit="1"/>
    </xf>
    <xf numFmtId="0" fontId="0" fillId="0" borderId="1" xfId="0" applyBorder="1"/>
    <xf numFmtId="0" fontId="6" fillId="0" borderId="0" xfId="0" applyFont="1"/>
    <xf numFmtId="0" fontId="7" fillId="0" borderId="0" xfId="0" applyFont="1" applyBorder="1" applyAlignment="1">
      <alignment horizontal="center"/>
    </xf>
    <xf numFmtId="0" fontId="7" fillId="0" borderId="0" xfId="0" applyFont="1" applyBorder="1"/>
    <xf numFmtId="0" fontId="8" fillId="0" borderId="0" xfId="0" applyFont="1" applyBorder="1" applyAlignment="1">
      <alignment horizontal="left" indent="5"/>
    </xf>
    <xf numFmtId="0" fontId="8" fillId="0" borderId="0" xfId="0" applyFont="1" applyBorder="1" applyAlignment="1">
      <alignment horizontal="left" indent="10"/>
    </xf>
    <xf numFmtId="0" fontId="8" fillId="0" borderId="0" xfId="0" applyFont="1" applyBorder="1" applyAlignment="1">
      <alignment horizontal="left" wrapText="1" indent="10"/>
    </xf>
    <xf numFmtId="0" fontId="8" fillId="0" borderId="0" xfId="0" applyFont="1" applyBorder="1"/>
    <xf numFmtId="0" fontId="8" fillId="0" borderId="0" xfId="0" applyFont="1" applyBorder="1" applyAlignment="1">
      <alignment wrapText="1"/>
    </xf>
    <xf numFmtId="0" fontId="9" fillId="0" borderId="0" xfId="0" applyFont="1" applyFill="1" applyBorder="1" applyAlignment="1">
      <alignment wrapText="1"/>
    </xf>
    <xf numFmtId="0" fontId="10" fillId="0" borderId="0" xfId="0" applyFont="1" applyFill="1" applyBorder="1" applyAlignment="1">
      <alignment wrapText="1"/>
    </xf>
    <xf numFmtId="0" fontId="8" fillId="0" borderId="0" xfId="0" applyFont="1" applyFill="1" applyBorder="1" applyAlignment="1">
      <alignment wrapText="1"/>
    </xf>
    <xf numFmtId="0" fontId="0" fillId="0" borderId="0" xfId="0" applyBorder="1"/>
    <xf numFmtId="0" fontId="0" fillId="0" borderId="1" xfId="0" applyFont="1" applyBorder="1"/>
    <xf numFmtId="0" fontId="0" fillId="0" borderId="0" xfId="0" applyFont="1"/>
    <xf numFmtId="1" fontId="14" fillId="8" borderId="1" xfId="0" applyNumberFormat="1" applyFont="1" applyFill="1" applyBorder="1" applyAlignment="1">
      <alignment horizontal="center"/>
    </xf>
    <xf numFmtId="0" fontId="16" fillId="0" borderId="1" xfId="0" applyFont="1" applyBorder="1" applyAlignment="1">
      <alignment horizontal="center" vertical="center" shrinkToFit="1"/>
    </xf>
    <xf numFmtId="0" fontId="16" fillId="0" borderId="1" xfId="0" applyFont="1" applyFill="1" applyBorder="1" applyAlignment="1">
      <alignment horizontal="center" vertical="center" shrinkToFit="1"/>
    </xf>
    <xf numFmtId="0" fontId="16" fillId="0" borderId="1" xfId="0" applyFont="1" applyBorder="1" applyAlignment="1">
      <alignment horizontal="center" vertical="center"/>
    </xf>
    <xf numFmtId="2" fontId="4" fillId="0" borderId="1" xfId="3" applyNumberFormat="1" applyFont="1" applyFill="1" applyBorder="1" applyAlignment="1">
      <alignment shrinkToFit="1"/>
    </xf>
    <xf numFmtId="2" fontId="4" fillId="0" borderId="1" xfId="3" applyNumberFormat="1" applyFont="1" applyFill="1" applyBorder="1" applyAlignment="1">
      <alignment horizontal="right" shrinkToFit="1"/>
    </xf>
    <xf numFmtId="2" fontId="4" fillId="0" borderId="0" xfId="3" applyNumberFormat="1" applyFont="1" applyFill="1" applyBorder="1" applyAlignment="1">
      <alignment horizontal="right" shrinkToFit="1"/>
    </xf>
    <xf numFmtId="2" fontId="4" fillId="0" borderId="0" xfId="3" applyNumberFormat="1" applyFont="1" applyFill="1" applyBorder="1" applyAlignment="1">
      <alignment shrinkToFit="1"/>
    </xf>
    <xf numFmtId="0" fontId="0" fillId="0" borderId="1" xfId="0" applyBorder="1"/>
    <xf numFmtId="2" fontId="4" fillId="0" borderId="1" xfId="3" applyNumberFormat="1" applyFont="1" applyFill="1" applyBorder="1" applyAlignment="1">
      <alignment shrinkToFit="1"/>
    </xf>
    <xf numFmtId="2" fontId="4" fillId="0" borderId="1" xfId="3" applyNumberFormat="1" applyFont="1" applyFill="1" applyBorder="1" applyAlignment="1">
      <alignment horizontal="right" shrinkToFit="1"/>
    </xf>
    <xf numFmtId="2" fontId="4" fillId="0" borderId="1" xfId="4" applyNumberFormat="1" applyFont="1" applyFill="1" applyBorder="1" applyAlignment="1">
      <alignment shrinkToFit="1"/>
    </xf>
    <xf numFmtId="0" fontId="0" fillId="0" borderId="1" xfId="0" applyBorder="1"/>
    <xf numFmtId="2" fontId="4" fillId="0" borderId="1" xfId="4" applyNumberFormat="1" applyFont="1" applyFill="1" applyBorder="1" applyAlignment="1">
      <alignment shrinkToFit="1"/>
    </xf>
    <xf numFmtId="10" fontId="0" fillId="0" borderId="1" xfId="0" applyNumberFormat="1" applyBorder="1"/>
    <xf numFmtId="10" fontId="20" fillId="0" borderId="2" xfId="0" applyNumberFormat="1" applyFont="1" applyFill="1" applyBorder="1" applyAlignment="1">
      <alignment horizontal="right" shrinkToFit="1"/>
    </xf>
    <xf numFmtId="10" fontId="21" fillId="0" borderId="1" xfId="0" applyNumberFormat="1" applyFont="1" applyFill="1" applyBorder="1" applyAlignment="1">
      <alignment horizontal="right" shrinkToFit="1"/>
    </xf>
    <xf numFmtId="2" fontId="0" fillId="0" borderId="1" xfId="0" applyNumberFormat="1" applyBorder="1"/>
    <xf numFmtId="2" fontId="0" fillId="0" borderId="1" xfId="0" applyNumberFormat="1" applyFill="1" applyBorder="1"/>
    <xf numFmtId="0" fontId="0" fillId="0" borderId="1" xfId="0" applyFill="1" applyBorder="1"/>
    <xf numFmtId="0" fontId="0" fillId="4" borderId="0" xfId="0" applyFill="1" applyBorder="1"/>
    <xf numFmtId="0" fontId="0" fillId="4" borderId="7" xfId="0" applyFill="1" applyBorder="1"/>
    <xf numFmtId="1" fontId="15" fillId="8" borderId="1" xfId="0" applyNumberFormat="1" applyFont="1" applyFill="1" applyBorder="1" applyAlignment="1">
      <alignment horizontal="center"/>
    </xf>
    <xf numFmtId="10" fontId="0" fillId="0" borderId="1" xfId="0" applyNumberFormat="1" applyFill="1" applyBorder="1"/>
    <xf numFmtId="2" fontId="22" fillId="0" borderId="1" xfId="3" applyNumberFormat="1" applyFont="1" applyFill="1" applyBorder="1" applyAlignment="1">
      <alignment horizontal="right" shrinkToFit="1"/>
    </xf>
    <xf numFmtId="2" fontId="22" fillId="0" borderId="1" xfId="3" applyNumberFormat="1" applyFont="1" applyFill="1" applyBorder="1" applyAlignment="1">
      <alignment shrinkToFit="1"/>
    </xf>
    <xf numFmtId="2" fontId="0" fillId="0" borderId="0" xfId="0" applyNumberFormat="1"/>
    <xf numFmtId="2" fontId="4" fillId="0" borderId="1" xfId="5" applyNumberFormat="1" applyFont="1" applyFill="1" applyBorder="1" applyAlignment="1">
      <alignment shrinkToFit="1"/>
    </xf>
    <xf numFmtId="0" fontId="0" fillId="0" borderId="1" xfId="0" applyBorder="1"/>
    <xf numFmtId="2" fontId="4" fillId="0" borderId="1" xfId="5" applyNumberFormat="1" applyFont="1" applyFill="1" applyBorder="1" applyAlignment="1">
      <alignment horizontal="right" shrinkToFit="1"/>
    </xf>
    <xf numFmtId="0" fontId="0" fillId="0" borderId="0" xfId="0" applyAlignment="1">
      <alignment horizontal="center"/>
    </xf>
    <xf numFmtId="10" fontId="20" fillId="0" borderId="1" xfId="0" applyNumberFormat="1" applyFont="1" applyFill="1" applyBorder="1"/>
    <xf numFmtId="10" fontId="0" fillId="0" borderId="1" xfId="0" applyNumberFormat="1" applyFont="1" applyFill="1" applyBorder="1"/>
    <xf numFmtId="10" fontId="0" fillId="0" borderId="1" xfId="0" applyNumberFormat="1" applyFont="1" applyBorder="1"/>
    <xf numFmtId="2" fontId="4" fillId="0" borderId="1" xfId="8" applyNumberFormat="1" applyFont="1" applyFill="1" applyBorder="1" applyAlignment="1">
      <alignment horizontal="right" shrinkToFit="1"/>
    </xf>
    <xf numFmtId="2" fontId="0" fillId="0" borderId="1" xfId="0" applyNumberFormat="1" applyFont="1" applyFill="1" applyBorder="1"/>
    <xf numFmtId="2" fontId="4" fillId="0" borderId="1" xfId="3" applyNumberFormat="1" applyFont="1" applyFill="1" applyBorder="1" applyAlignment="1">
      <alignment shrinkToFit="1"/>
    </xf>
    <xf numFmtId="2" fontId="4" fillId="0" borderId="1" xfId="3" applyNumberFormat="1" applyFont="1" applyFill="1" applyBorder="1" applyAlignment="1">
      <alignment horizontal="right" shrinkToFit="1"/>
    </xf>
    <xf numFmtId="2" fontId="4" fillId="0" borderId="1" xfId="4" applyNumberFormat="1" applyFont="1" applyFill="1" applyBorder="1" applyAlignment="1">
      <alignment shrinkToFit="1"/>
    </xf>
    <xf numFmtId="2" fontId="0" fillId="0" borderId="1" xfId="0" applyNumberFormat="1" applyBorder="1"/>
    <xf numFmtId="0" fontId="0" fillId="0" borderId="0" xfId="0" applyFill="1"/>
    <xf numFmtId="2" fontId="0" fillId="0" borderId="0" xfId="0" applyNumberFormat="1"/>
    <xf numFmtId="0" fontId="0" fillId="4" borderId="1" xfId="0" applyFill="1" applyBorder="1"/>
    <xf numFmtId="0" fontId="0" fillId="4" borderId="1" xfId="0" applyFill="1" applyBorder="1" applyAlignment="1">
      <alignment horizontal="center"/>
    </xf>
    <xf numFmtId="2" fontId="0" fillId="0" borderId="0" xfId="0" applyNumberFormat="1"/>
    <xf numFmtId="0" fontId="0" fillId="0" borderId="1" xfId="0" applyBorder="1"/>
    <xf numFmtId="2" fontId="0" fillId="0" borderId="1" xfId="0" applyNumberFormat="1" applyBorder="1"/>
    <xf numFmtId="0" fontId="4" fillId="0" borderId="1" xfId="1" applyFont="1" applyFill="1" applyBorder="1" applyAlignment="1">
      <alignment horizontal="right" shrinkToFit="1"/>
    </xf>
    <xf numFmtId="0" fontId="4" fillId="0" borderId="1" xfId="1" applyFont="1" applyFill="1" applyBorder="1" applyAlignment="1">
      <alignment shrinkToFit="1"/>
    </xf>
    <xf numFmtId="2" fontId="0" fillId="0" borderId="1" xfId="0" applyNumberFormat="1" applyFill="1" applyBorder="1"/>
    <xf numFmtId="2" fontId="19" fillId="0" borderId="1" xfId="0" applyNumberFormat="1" applyFont="1" applyFill="1" applyBorder="1"/>
    <xf numFmtId="2" fontId="4" fillId="0" borderId="1" xfId="7" applyNumberFormat="1" applyFont="1" applyFill="1" applyBorder="1" applyAlignment="1">
      <alignment shrinkToFit="1"/>
    </xf>
    <xf numFmtId="2" fontId="0" fillId="0" borderId="1" xfId="0" applyNumberFormat="1" applyFont="1" applyFill="1" applyBorder="1"/>
    <xf numFmtId="10" fontId="0" fillId="0" borderId="1" xfId="0" applyNumberFormat="1" applyBorder="1" applyAlignment="1">
      <alignment horizontal="right"/>
    </xf>
    <xf numFmtId="0" fontId="0" fillId="0" borderId="1" xfId="0" applyBorder="1" applyAlignment="1">
      <alignment horizontal="right"/>
    </xf>
    <xf numFmtId="10" fontId="0" fillId="0" borderId="1" xfId="2" applyNumberFormat="1" applyFont="1" applyBorder="1"/>
    <xf numFmtId="10" fontId="0" fillId="0" borderId="1" xfId="2" applyNumberFormat="1" applyFont="1" applyFill="1" applyBorder="1"/>
    <xf numFmtId="10" fontId="0" fillId="0" borderId="1" xfId="2" applyNumberFormat="1" applyFont="1" applyFill="1" applyBorder="1" applyAlignment="1">
      <alignment horizontal="right"/>
    </xf>
    <xf numFmtId="1" fontId="15" fillId="6" borderId="1" xfId="0" applyNumberFormat="1" applyFont="1" applyFill="1" applyBorder="1" applyAlignment="1">
      <alignment horizontal="center"/>
    </xf>
    <xf numFmtId="1" fontId="15" fillId="7" borderId="1" xfId="0" applyNumberFormat="1" applyFont="1" applyFill="1" applyBorder="1" applyAlignment="1">
      <alignment horizontal="center"/>
    </xf>
    <xf numFmtId="0" fontId="0" fillId="4" borderId="0" xfId="0" applyFill="1" applyBorder="1" applyAlignment="1">
      <alignment horizontal="center"/>
    </xf>
    <xf numFmtId="0" fontId="0" fillId="4" borderId="7" xfId="0" applyFill="1" applyBorder="1" applyAlignment="1">
      <alignment horizontal="center"/>
    </xf>
    <xf numFmtId="0" fontId="0" fillId="4" borderId="10" xfId="0" applyFill="1" applyBorder="1"/>
    <xf numFmtId="0" fontId="0" fillId="4" borderId="6" xfId="0" applyFill="1" applyBorder="1"/>
    <xf numFmtId="10" fontId="0" fillId="0" borderId="1" xfId="2" applyNumberFormat="1" applyFont="1" applyBorder="1" applyAlignment="1">
      <alignment horizontal="right"/>
    </xf>
    <xf numFmtId="0" fontId="0" fillId="0" borderId="0" xfId="0" applyAlignment="1">
      <alignment horizontal="right"/>
    </xf>
    <xf numFmtId="0" fontId="0" fillId="4" borderId="0" xfId="0" applyFill="1" applyBorder="1" applyAlignment="1">
      <alignment horizontal="center"/>
    </xf>
    <xf numFmtId="0" fontId="0" fillId="4" borderId="7" xfId="0" applyFill="1" applyBorder="1" applyAlignment="1">
      <alignment horizontal="center"/>
    </xf>
    <xf numFmtId="0" fontId="21" fillId="0" borderId="1" xfId="1" applyFont="1" applyFill="1" applyBorder="1" applyAlignment="1">
      <alignment shrinkToFit="1"/>
    </xf>
    <xf numFmtId="0" fontId="21" fillId="0" borderId="1" xfId="1" applyFont="1" applyFill="1" applyBorder="1" applyAlignment="1">
      <alignment horizontal="right" shrinkToFit="1"/>
    </xf>
    <xf numFmtId="2" fontId="19" fillId="0" borderId="1" xfId="0" applyNumberFormat="1" applyFont="1" applyBorder="1"/>
    <xf numFmtId="2" fontId="19" fillId="0" borderId="1" xfId="0" applyNumberFormat="1" applyFont="1" applyFill="1" applyBorder="1" applyAlignment="1">
      <alignment shrinkToFit="1"/>
    </xf>
    <xf numFmtId="0" fontId="19" fillId="0" borderId="1" xfId="0" applyFont="1" applyFill="1" applyBorder="1"/>
    <xf numFmtId="10" fontId="19" fillId="0" borderId="1" xfId="0" applyNumberFormat="1" applyFont="1" applyFill="1" applyBorder="1"/>
    <xf numFmtId="10" fontId="19" fillId="0" borderId="1" xfId="2" applyNumberFormat="1" applyFont="1" applyFill="1" applyBorder="1"/>
    <xf numFmtId="10" fontId="11" fillId="0" borderId="1" xfId="2" applyNumberFormat="1" applyFont="1" applyFill="1" applyBorder="1" applyAlignment="1">
      <alignment horizontal="right"/>
    </xf>
    <xf numFmtId="1" fontId="0" fillId="0" borderId="1" xfId="0" applyNumberFormat="1" applyBorder="1" applyAlignment="1">
      <alignment horizontal="right"/>
    </xf>
    <xf numFmtId="1" fontId="0" fillId="0" borderId="1" xfId="2" applyNumberFormat="1" applyFont="1" applyBorder="1" applyAlignment="1">
      <alignment horizontal="right"/>
    </xf>
    <xf numFmtId="1" fontId="0" fillId="0" borderId="1" xfId="0" applyNumberFormat="1" applyFill="1" applyBorder="1" applyAlignment="1">
      <alignment horizontal="right"/>
    </xf>
    <xf numFmtId="1" fontId="0" fillId="0" borderId="0" xfId="0" applyNumberFormat="1" applyAlignment="1">
      <alignment horizontal="right"/>
    </xf>
    <xf numFmtId="0" fontId="6" fillId="7" borderId="1" xfId="0" applyFont="1" applyFill="1" applyBorder="1" applyAlignment="1">
      <alignment horizontal="center"/>
    </xf>
    <xf numFmtId="0" fontId="8" fillId="0" borderId="0" xfId="0" applyFont="1" applyFill="1" applyBorder="1" applyAlignment="1">
      <alignment horizontal="left" indent="10"/>
    </xf>
    <xf numFmtId="0" fontId="8" fillId="0" borderId="0" xfId="0" applyFont="1" applyFill="1" applyBorder="1" applyAlignment="1">
      <alignment horizontal="left" wrapText="1" indent="10"/>
    </xf>
    <xf numFmtId="0" fontId="0" fillId="4" borderId="1" xfId="0" applyFill="1" applyBorder="1" applyAlignment="1">
      <alignment horizontal="center"/>
    </xf>
    <xf numFmtId="0" fontId="0" fillId="0" borderId="1" xfId="0" applyFill="1" applyBorder="1" applyAlignment="1">
      <alignment horizontal="right"/>
    </xf>
    <xf numFmtId="2" fontId="0" fillId="0" borderId="1" xfId="0" applyNumberFormat="1" applyBorder="1" applyAlignment="1">
      <alignment horizontal="right"/>
    </xf>
    <xf numFmtId="0" fontId="0" fillId="4" borderId="1" xfId="0" applyFill="1" applyBorder="1" applyAlignment="1">
      <alignment horizontal="center"/>
    </xf>
    <xf numFmtId="0" fontId="18" fillId="0" borderId="1" xfId="0" applyFont="1" applyBorder="1" applyAlignment="1">
      <alignment horizontal="center" vertical="center"/>
    </xf>
    <xf numFmtId="0" fontId="18" fillId="0" borderId="1" xfId="0" applyFont="1" applyBorder="1" applyAlignment="1">
      <alignment horizontal="center" vertical="center" shrinkToFit="1"/>
    </xf>
    <xf numFmtId="2" fontId="4" fillId="0" borderId="12" xfId="5" applyNumberFormat="1" applyFont="1" applyFill="1" applyBorder="1" applyAlignment="1">
      <alignment shrinkToFit="1"/>
    </xf>
    <xf numFmtId="0" fontId="0" fillId="0" borderId="10" xfId="0" applyBorder="1"/>
    <xf numFmtId="9" fontId="0" fillId="0" borderId="1" xfId="2" applyNumberFormat="1" applyFont="1" applyBorder="1"/>
    <xf numFmtId="0" fontId="0" fillId="0" borderId="1" xfId="0" applyFont="1" applyFill="1" applyBorder="1" applyAlignment="1">
      <alignment horizontal="right"/>
    </xf>
    <xf numFmtId="0" fontId="0" fillId="0" borderId="1" xfId="0" applyBorder="1" applyAlignment="1">
      <alignment shrinkToFit="1"/>
    </xf>
    <xf numFmtId="2" fontId="3" fillId="0" borderId="1" xfId="10" applyNumberFormat="1" applyFill="1" applyBorder="1" applyAlignment="1">
      <alignment shrinkToFit="1"/>
    </xf>
    <xf numFmtId="0" fontId="0" fillId="0" borderId="1" xfId="0" applyBorder="1" applyAlignment="1">
      <alignment horizontal="right" shrinkToFit="1"/>
    </xf>
    <xf numFmtId="0" fontId="19" fillId="0" borderId="1" xfId="0" applyFont="1" applyFill="1" applyBorder="1" applyAlignment="1">
      <alignment horizontal="right"/>
    </xf>
    <xf numFmtId="0" fontId="0" fillId="0" borderId="1" xfId="0" applyBorder="1" applyAlignment="1"/>
    <xf numFmtId="164" fontId="0" fillId="0" borderId="1" xfId="2" applyNumberFormat="1" applyFont="1" applyBorder="1" applyAlignment="1"/>
    <xf numFmtId="10" fontId="0" fillId="0" borderId="2" xfId="0" applyNumberFormat="1" applyFont="1" applyBorder="1" applyAlignment="1">
      <alignment shrinkToFit="1"/>
    </xf>
    <xf numFmtId="10" fontId="19" fillId="0" borderId="1" xfId="0" applyNumberFormat="1" applyFont="1" applyBorder="1" applyAlignment="1">
      <alignment shrinkToFit="1"/>
    </xf>
    <xf numFmtId="10" fontId="0" fillId="0" borderId="1" xfId="0" applyNumberFormat="1" applyBorder="1" applyAlignment="1"/>
    <xf numFmtId="165" fontId="0" fillId="0" borderId="1" xfId="0" applyNumberFormat="1" applyFill="1" applyBorder="1" applyAlignment="1">
      <alignment horizontal="right"/>
    </xf>
    <xf numFmtId="0" fontId="16" fillId="0" borderId="1" xfId="0" applyFont="1" applyFill="1" applyBorder="1" applyAlignment="1">
      <alignment wrapText="1"/>
    </xf>
    <xf numFmtId="10" fontId="16" fillId="0" borderId="1" xfId="2" applyNumberFormat="1" applyFont="1" applyFill="1" applyBorder="1" applyAlignment="1">
      <alignment horizontal="left" wrapText="1" shrinkToFit="1"/>
    </xf>
    <xf numFmtId="164" fontId="16" fillId="0" borderId="1" xfId="0" applyNumberFormat="1" applyFont="1" applyFill="1" applyBorder="1" applyAlignment="1">
      <alignment horizontal="left" wrapText="1" shrinkToFit="1"/>
    </xf>
    <xf numFmtId="0" fontId="24" fillId="0" borderId="1" xfId="0" applyFont="1" applyFill="1" applyBorder="1" applyAlignment="1">
      <alignment wrapText="1"/>
    </xf>
    <xf numFmtId="0" fontId="16" fillId="0" borderId="1" xfId="0" applyFont="1" applyFill="1" applyBorder="1" applyAlignment="1">
      <alignment horizontal="left" wrapText="1" shrinkToFit="1"/>
    </xf>
    <xf numFmtId="165" fontId="19" fillId="0" borderId="1" xfId="0" applyNumberFormat="1" applyFont="1" applyBorder="1"/>
    <xf numFmtId="165" fontId="22" fillId="0" borderId="1" xfId="3" applyNumberFormat="1" applyFont="1" applyFill="1" applyBorder="1" applyAlignment="1">
      <alignment shrinkToFit="1"/>
    </xf>
    <xf numFmtId="165" fontId="4" fillId="0" borderId="1" xfId="3" applyNumberFormat="1" applyFont="1" applyFill="1" applyBorder="1" applyAlignment="1">
      <alignment shrinkToFit="1"/>
    </xf>
    <xf numFmtId="165" fontId="4" fillId="0" borderId="12" xfId="3" applyNumberFormat="1" applyFont="1" applyFill="1" applyBorder="1" applyAlignment="1">
      <alignment shrinkToFit="1"/>
    </xf>
    <xf numFmtId="165" fontId="4" fillId="0" borderId="1" xfId="3" applyNumberFormat="1" applyFont="1" applyFill="1" applyBorder="1" applyAlignment="1">
      <alignment horizontal="right" shrinkToFit="1"/>
    </xf>
    <xf numFmtId="165" fontId="4" fillId="0" borderId="12" xfId="3" applyNumberFormat="1" applyFont="1" applyFill="1" applyBorder="1" applyAlignment="1">
      <alignment horizontal="right" shrinkToFit="1"/>
    </xf>
    <xf numFmtId="165" fontId="22" fillId="0" borderId="1" xfId="3" applyNumberFormat="1" applyFont="1" applyFill="1" applyBorder="1" applyAlignment="1">
      <alignment horizontal="right" shrinkToFit="1"/>
    </xf>
    <xf numFmtId="2" fontId="16" fillId="0" borderId="1" xfId="0" applyNumberFormat="1" applyFont="1" applyFill="1" applyBorder="1" applyAlignment="1">
      <alignment wrapText="1"/>
    </xf>
    <xf numFmtId="2" fontId="16" fillId="0" borderId="1" xfId="0" applyNumberFormat="1" applyFont="1" applyFill="1" applyBorder="1" applyAlignment="1">
      <alignment horizontal="left" wrapText="1"/>
    </xf>
    <xf numFmtId="0" fontId="16" fillId="0" borderId="1" xfId="0" applyFont="1" applyFill="1" applyBorder="1" applyAlignment="1">
      <alignment horizontal="left" wrapText="1"/>
    </xf>
    <xf numFmtId="0" fontId="24" fillId="0" borderId="1" xfId="0" applyFont="1" applyFill="1" applyBorder="1" applyAlignment="1">
      <alignment horizontal="left" wrapText="1"/>
    </xf>
    <xf numFmtId="164" fontId="16" fillId="0" borderId="1" xfId="2" applyNumberFormat="1" applyFont="1" applyFill="1" applyBorder="1" applyAlignment="1">
      <alignment horizontal="left" wrapText="1" shrinkToFit="1"/>
    </xf>
    <xf numFmtId="10" fontId="11" fillId="0" borderId="1" xfId="2" applyNumberFormat="1" applyFont="1" applyBorder="1"/>
    <xf numFmtId="2" fontId="16" fillId="0" borderId="8" xfId="0" applyNumberFormat="1" applyFont="1" applyFill="1" applyBorder="1" applyAlignment="1">
      <alignment horizontal="left" wrapText="1"/>
    </xf>
    <xf numFmtId="2" fontId="4" fillId="0" borderId="1" xfId="9" applyNumberFormat="1" applyFont="1" applyFill="1" applyBorder="1" applyAlignment="1">
      <alignment shrinkToFit="1"/>
    </xf>
    <xf numFmtId="0" fontId="4" fillId="0" borderId="1" xfId="1" applyFont="1" applyFill="1" applyBorder="1" applyAlignment="1">
      <alignment shrinkToFit="1"/>
    </xf>
    <xf numFmtId="0" fontId="4" fillId="0" borderId="1" xfId="1" applyFont="1" applyFill="1" applyBorder="1" applyAlignment="1">
      <alignment horizontal="right" shrinkToFit="1"/>
    </xf>
    <xf numFmtId="2" fontId="11" fillId="0" borderId="1" xfId="0" applyNumberFormat="1" applyFont="1" applyBorder="1"/>
    <xf numFmtId="10" fontId="20" fillId="0" borderId="1" xfId="18" applyNumberFormat="1" applyFont="1" applyBorder="1"/>
    <xf numFmtId="2" fontId="22" fillId="0" borderId="1" xfId="5" applyNumberFormat="1" applyFont="1" applyFill="1" applyBorder="1" applyAlignment="1">
      <alignment horizontal="right" shrinkToFit="1"/>
    </xf>
    <xf numFmtId="165" fontId="11" fillId="0" borderId="1" xfId="0" applyNumberFormat="1" applyFont="1" applyFill="1" applyBorder="1"/>
    <xf numFmtId="0" fontId="22" fillId="0" borderId="1" xfId="1" applyFont="1" applyFill="1" applyBorder="1" applyAlignment="1">
      <alignment horizontal="right" shrinkToFit="1"/>
    </xf>
    <xf numFmtId="0" fontId="19" fillId="0" borderId="1" xfId="1" applyFont="1" applyFill="1" applyBorder="1" applyAlignment="1">
      <alignment shrinkToFit="1"/>
    </xf>
    <xf numFmtId="10" fontId="11" fillId="0" borderId="1" xfId="18" applyNumberFormat="1" applyFont="1" applyBorder="1"/>
    <xf numFmtId="2" fontId="22" fillId="0" borderId="1" xfId="9" applyNumberFormat="1" applyFont="1" applyFill="1" applyBorder="1" applyAlignment="1">
      <alignment shrinkToFit="1"/>
    </xf>
    <xf numFmtId="10" fontId="11" fillId="0" borderId="1" xfId="0" applyNumberFormat="1" applyFont="1" applyBorder="1"/>
    <xf numFmtId="0" fontId="22" fillId="0" borderId="1" xfId="1" applyFont="1" applyFill="1" applyBorder="1" applyAlignment="1">
      <alignment shrinkToFit="1"/>
    </xf>
    <xf numFmtId="0" fontId="11" fillId="0" borderId="1" xfId="0" applyFont="1" applyBorder="1"/>
    <xf numFmtId="2" fontId="11" fillId="0" borderId="1" xfId="0" applyNumberFormat="1" applyFont="1" applyBorder="1" applyAlignment="1">
      <alignment shrinkToFit="1"/>
    </xf>
    <xf numFmtId="2" fontId="22" fillId="0" borderId="1" xfId="6" applyNumberFormat="1" applyFont="1" applyFill="1" applyBorder="1" applyAlignment="1">
      <alignment horizontal="right" shrinkToFit="1"/>
    </xf>
    <xf numFmtId="2" fontId="11" fillId="0" borderId="1" xfId="0" applyNumberFormat="1" applyFont="1" applyFill="1" applyBorder="1"/>
    <xf numFmtId="2" fontId="11" fillId="0" borderId="1" xfId="0" applyNumberFormat="1" applyFont="1" applyFill="1" applyBorder="1" applyAlignment="1">
      <alignment shrinkToFit="1"/>
    </xf>
    <xf numFmtId="0" fontId="19" fillId="0" borderId="1" xfId="1" applyFont="1" applyFill="1" applyBorder="1" applyAlignment="1">
      <alignment horizontal="right" shrinkToFit="1"/>
    </xf>
    <xf numFmtId="2" fontId="19" fillId="0" borderId="1" xfId="9" applyNumberFormat="1" applyFont="1" applyFill="1" applyBorder="1" applyAlignment="1">
      <alignment shrinkToFit="1"/>
    </xf>
    <xf numFmtId="2" fontId="22" fillId="0" borderId="1" xfId="5" applyNumberFormat="1" applyFont="1" applyFill="1" applyBorder="1" applyAlignment="1">
      <alignment shrinkToFit="1"/>
    </xf>
    <xf numFmtId="2" fontId="22" fillId="0" borderId="1" xfId="7" applyNumberFormat="1" applyFont="1" applyFill="1" applyBorder="1" applyAlignment="1">
      <alignment shrinkToFit="1"/>
    </xf>
    <xf numFmtId="2" fontId="20" fillId="0" borderId="1" xfId="0" applyNumberFormat="1" applyFont="1" applyBorder="1" applyAlignment="1">
      <alignment shrinkToFit="1"/>
    </xf>
    <xf numFmtId="2" fontId="20" fillId="0" borderId="1" xfId="0" applyNumberFormat="1" applyFont="1" applyBorder="1"/>
    <xf numFmtId="2" fontId="20" fillId="0" borderId="1" xfId="0" applyNumberFormat="1" applyFont="1" applyFill="1" applyBorder="1" applyAlignment="1">
      <alignment shrinkToFit="1"/>
    </xf>
    <xf numFmtId="10" fontId="20" fillId="0" borderId="1" xfId="2" applyNumberFormat="1" applyFont="1" applyBorder="1"/>
    <xf numFmtId="0" fontId="20" fillId="0" borderId="1" xfId="0" applyFont="1" applyBorder="1"/>
    <xf numFmtId="10" fontId="20" fillId="0" borderId="1" xfId="0" applyNumberFormat="1" applyFont="1" applyBorder="1"/>
    <xf numFmtId="0" fontId="20" fillId="0" borderId="1" xfId="0" applyFont="1" applyBorder="1" applyAlignment="1">
      <alignment shrinkToFit="1"/>
    </xf>
    <xf numFmtId="165" fontId="20" fillId="0" borderId="1" xfId="0" applyNumberFormat="1" applyFont="1" applyBorder="1" applyAlignment="1">
      <alignment horizontal="right"/>
    </xf>
    <xf numFmtId="0" fontId="20" fillId="0" borderId="1" xfId="0" applyFont="1" applyBorder="1" applyAlignment="1">
      <alignment horizontal="right"/>
    </xf>
    <xf numFmtId="10" fontId="20" fillId="0" borderId="1" xfId="2" applyNumberFormat="1" applyFont="1" applyBorder="1" applyAlignment="1">
      <alignment horizontal="right"/>
    </xf>
    <xf numFmtId="2" fontId="20" fillId="0" borderId="1" xfId="0" applyNumberFormat="1" applyFont="1" applyFill="1" applyBorder="1"/>
    <xf numFmtId="2" fontId="20" fillId="0" borderId="12" xfId="0" applyNumberFormat="1" applyFont="1" applyBorder="1" applyAlignment="1">
      <alignment shrinkToFit="1"/>
    </xf>
    <xf numFmtId="9" fontId="0" fillId="0" borderId="1" xfId="2" applyNumberFormat="1" applyFont="1" applyBorder="1" applyAlignment="1">
      <alignment horizontal="right"/>
    </xf>
    <xf numFmtId="9" fontId="0" fillId="0" borderId="1" xfId="2" applyFont="1" applyBorder="1" applyAlignment="1">
      <alignment horizontal="right"/>
    </xf>
    <xf numFmtId="0" fontId="16" fillId="0" borderId="8" xfId="0" applyFont="1" applyFill="1" applyBorder="1" applyAlignment="1">
      <alignment wrapText="1"/>
    </xf>
    <xf numFmtId="0" fontId="0" fillId="0" borderId="1" xfId="0" applyFont="1" applyBorder="1" applyAlignment="1">
      <alignment horizontal="right"/>
    </xf>
    <xf numFmtId="1" fontId="16" fillId="0" borderId="1" xfId="0" applyNumberFormat="1" applyFont="1" applyFill="1" applyBorder="1" applyAlignment="1">
      <alignment horizontal="left" wrapText="1" shrinkToFit="1"/>
    </xf>
    <xf numFmtId="0" fontId="15" fillId="10" borderId="1" xfId="0" applyNumberFormat="1" applyFont="1" applyFill="1" applyBorder="1" applyAlignment="1">
      <alignment horizontal="center"/>
    </xf>
    <xf numFmtId="0" fontId="15" fillId="7" borderId="1" xfId="0" applyFont="1" applyFill="1" applyBorder="1" applyAlignment="1">
      <alignment horizontal="center"/>
    </xf>
    <xf numFmtId="0" fontId="15" fillId="11" borderId="1" xfId="0" applyFont="1" applyFill="1" applyBorder="1" applyAlignment="1">
      <alignment horizontal="center"/>
    </xf>
    <xf numFmtId="0" fontId="26" fillId="11" borderId="1" xfId="0" applyFont="1" applyFill="1" applyBorder="1" applyAlignment="1">
      <alignment horizontal="center"/>
    </xf>
    <xf numFmtId="1" fontId="15" fillId="10" borderId="1" xfId="0" applyNumberFormat="1" applyFont="1" applyFill="1" applyBorder="1" applyAlignment="1">
      <alignment horizontal="center"/>
    </xf>
    <xf numFmtId="0" fontId="15" fillId="12" borderId="1" xfId="0" applyNumberFormat="1" applyFont="1" applyFill="1" applyBorder="1" applyAlignment="1">
      <alignment horizontal="center"/>
    </xf>
    <xf numFmtId="2" fontId="11" fillId="0" borderId="0" xfId="0" applyNumberFormat="1" applyFont="1" applyBorder="1"/>
    <xf numFmtId="10" fontId="0" fillId="0" borderId="12" xfId="0" applyNumberFormat="1" applyFill="1" applyBorder="1" applyAlignment="1">
      <alignment horizontal="right"/>
    </xf>
    <xf numFmtId="0" fontId="28" fillId="0" borderId="0" xfId="0" applyFont="1" applyAlignment="1">
      <alignment vertical="center"/>
    </xf>
    <xf numFmtId="0" fontId="28" fillId="0" borderId="0" xfId="0" applyFont="1" applyAlignment="1">
      <alignment vertical="center"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8"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11"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8" xfId="0" applyFont="1" applyFill="1" applyBorder="1" applyAlignment="1">
      <alignment horizontal="center" vertical="center"/>
    </xf>
    <xf numFmtId="0" fontId="12" fillId="7" borderId="2" xfId="0" applyFont="1" applyFill="1" applyBorder="1" applyAlignment="1">
      <alignment horizontal="center"/>
    </xf>
    <xf numFmtId="0" fontId="13" fillId="7" borderId="8" xfId="0" applyFont="1" applyFill="1" applyBorder="1" applyAlignment="1">
      <alignment horizontal="center"/>
    </xf>
    <xf numFmtId="0" fontId="12" fillId="8" borderId="2" xfId="0" applyFont="1" applyFill="1" applyBorder="1" applyAlignment="1">
      <alignment horizontal="center" vertical="center"/>
    </xf>
    <xf numFmtId="0" fontId="12" fillId="8"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6" borderId="1" xfId="0" applyFont="1" applyFill="1" applyBorder="1" applyAlignment="1">
      <alignment horizontal="center" vertical="center"/>
    </xf>
    <xf numFmtId="0" fontId="12" fillId="7" borderId="1" xfId="0" applyFont="1" applyFill="1" applyBorder="1" applyAlignment="1">
      <alignment horizontal="center"/>
    </xf>
    <xf numFmtId="0" fontId="13" fillId="7" borderId="1" xfId="0" applyFont="1" applyFill="1" applyBorder="1" applyAlignment="1">
      <alignment horizontal="center"/>
    </xf>
    <xf numFmtId="0" fontId="12" fillId="8" borderId="1" xfId="0" applyFont="1" applyFill="1" applyBorder="1" applyAlignment="1">
      <alignment horizontal="center" vertical="center"/>
    </xf>
    <xf numFmtId="2" fontId="12" fillId="0" borderId="1" xfId="0" applyNumberFormat="1" applyFont="1" applyFill="1" applyBorder="1" applyAlignment="1">
      <alignment horizontal="center"/>
    </xf>
    <xf numFmtId="0" fontId="0" fillId="4" borderId="1" xfId="0" applyFill="1" applyBorder="1" applyAlignment="1">
      <alignment horizontal="center"/>
    </xf>
    <xf numFmtId="0" fontId="17" fillId="9" borderId="1" xfId="0" applyFont="1" applyFill="1" applyBorder="1" applyAlignment="1">
      <alignment horizontal="center" vertical="center"/>
    </xf>
    <xf numFmtId="2" fontId="6" fillId="12" borderId="1" xfId="0" applyNumberFormat="1" applyFont="1" applyFill="1" applyBorder="1" applyAlignment="1">
      <alignment horizontal="center" vertical="center"/>
    </xf>
    <xf numFmtId="0" fontId="6" fillId="10" borderId="1" xfId="0" applyFont="1" applyFill="1" applyBorder="1" applyAlignment="1">
      <alignment horizontal="center" vertical="center"/>
    </xf>
    <xf numFmtId="0" fontId="6" fillId="11" borderId="1" xfId="0" applyFont="1" applyFill="1" applyBorder="1" applyAlignment="1">
      <alignment horizontal="center" wrapText="1"/>
    </xf>
    <xf numFmtId="0" fontId="6" fillId="7" borderId="2" xfId="0" applyFont="1" applyFill="1" applyBorder="1" applyAlignment="1">
      <alignment horizontal="center"/>
    </xf>
    <xf numFmtId="0" fontId="6" fillId="7" borderId="3" xfId="0" applyFont="1" applyFill="1" applyBorder="1" applyAlignment="1">
      <alignment horizontal="center"/>
    </xf>
    <xf numFmtId="0" fontId="6" fillId="7" borderId="8" xfId="0" applyFont="1" applyFill="1" applyBorder="1" applyAlignment="1">
      <alignment horizontal="center"/>
    </xf>
    <xf numFmtId="2" fontId="27" fillId="12" borderId="1" xfId="0" applyNumberFormat="1" applyFont="1" applyFill="1" applyBorder="1" applyAlignment="1">
      <alignment horizontal="center" vertical="center"/>
    </xf>
    <xf numFmtId="0" fontId="6" fillId="7" borderId="1" xfId="0" applyFont="1" applyFill="1" applyBorder="1" applyAlignment="1">
      <alignment horizontal="center"/>
    </xf>
  </cellXfs>
  <cellStyles count="24">
    <cellStyle name="Normal" xfId="0" builtinId="0"/>
    <cellStyle name="Normal 2" xfId="10"/>
    <cellStyle name="Normal 2 2" xfId="14"/>
    <cellStyle name="Normal 2 2 2" xfId="23"/>
    <cellStyle name="Normal 2 3" xfId="21"/>
    <cellStyle name="Normal 3" xfId="12"/>
    <cellStyle name="Normal 4" xfId="11"/>
    <cellStyle name="Normal 4 2" xfId="22"/>
    <cellStyle name="Normal 5" xfId="15"/>
    <cellStyle name="Normal 6" xfId="19"/>
    <cellStyle name="Normal 7" xfId="17"/>
    <cellStyle name="Normal_MastersAppliedGPA" xfId="5"/>
    <cellStyle name="Normal_MastersAppliedGPA 2" xfId="6"/>
    <cellStyle name="Normal_MastersAppliedGPA_1" xfId="7"/>
    <cellStyle name="Normal_MastersGRE" xfId="9"/>
    <cellStyle name="Normal_Sheet1" xfId="1"/>
    <cellStyle name="Normal_Sheet1_1" xfId="3"/>
    <cellStyle name="Normal_Specialist_1" xfId="4"/>
    <cellStyle name="Normal_SpecialistGRE_1" xfId="8"/>
    <cellStyle name="Percent" xfId="2" builtinId="5"/>
    <cellStyle name="Percent 2" xfId="13"/>
    <cellStyle name="Percent 3" xfId="16"/>
    <cellStyle name="Percent 4" xfId="20"/>
    <cellStyle name="Percent 5"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7"/>
  <sheetViews>
    <sheetView tabSelected="1" zoomScaleNormal="100" workbookViewId="0">
      <pane ySplit="1" topLeftCell="A11" activePane="bottomLeft" state="frozen"/>
      <selection pane="bottomLeft" activeCell="C22" sqref="C22"/>
    </sheetView>
  </sheetViews>
  <sheetFormatPr defaultRowHeight="15" x14ac:dyDescent="0.25"/>
  <cols>
    <col min="1" max="1" width="27.7109375" customWidth="1"/>
    <col min="2" max="2" width="31.28515625" customWidth="1"/>
    <col min="3" max="3" width="38.5703125" customWidth="1"/>
    <col min="4" max="4" width="16.28515625" customWidth="1"/>
    <col min="5" max="5" width="19.42578125" customWidth="1"/>
    <col min="7" max="7" width="12" customWidth="1"/>
    <col min="8" max="8" width="13.5703125" customWidth="1"/>
    <col min="9" max="9" width="10.7109375" customWidth="1"/>
    <col min="10" max="10" width="10.28515625" customWidth="1"/>
    <col min="11" max="11" width="12.85546875" customWidth="1"/>
  </cols>
  <sheetData>
    <row r="1" spans="1:11" x14ac:dyDescent="0.25">
      <c r="A1" s="1" t="s">
        <v>404</v>
      </c>
      <c r="B1" s="1" t="s">
        <v>526</v>
      </c>
      <c r="C1" s="1" t="s">
        <v>0</v>
      </c>
      <c r="D1" s="1" t="s">
        <v>370</v>
      </c>
      <c r="E1" s="1" t="s">
        <v>371</v>
      </c>
      <c r="F1" s="1" t="s">
        <v>404</v>
      </c>
      <c r="G1" s="1" t="s">
        <v>526</v>
      </c>
      <c r="H1" s="1" t="s">
        <v>528</v>
      </c>
      <c r="I1" s="1" t="s">
        <v>529</v>
      </c>
      <c r="J1" s="1" t="s">
        <v>527</v>
      </c>
      <c r="K1" s="1" t="s">
        <v>369</v>
      </c>
    </row>
    <row r="2" spans="1:11" x14ac:dyDescent="0.25">
      <c r="A2" s="3" t="s">
        <v>242</v>
      </c>
      <c r="B2" s="3" t="s">
        <v>341</v>
      </c>
      <c r="C2" s="3" t="s">
        <v>348</v>
      </c>
      <c r="D2" s="4"/>
      <c r="E2" s="4"/>
      <c r="F2" s="2">
        <v>213</v>
      </c>
      <c r="G2" s="2">
        <v>0</v>
      </c>
      <c r="H2" s="3" t="s">
        <v>349</v>
      </c>
      <c r="I2" s="3" t="s">
        <v>341</v>
      </c>
      <c r="J2" s="3" t="s">
        <v>350</v>
      </c>
      <c r="K2" s="5"/>
    </row>
    <row r="3" spans="1:11" x14ac:dyDescent="0.25">
      <c r="A3" s="3" t="s">
        <v>262</v>
      </c>
      <c r="B3" s="3" t="s">
        <v>341</v>
      </c>
      <c r="C3" s="3" t="s">
        <v>345</v>
      </c>
      <c r="D3" s="4"/>
      <c r="E3" s="4"/>
      <c r="F3" s="2">
        <v>223</v>
      </c>
      <c r="G3" s="2">
        <v>0</v>
      </c>
      <c r="H3" s="3" t="s">
        <v>346</v>
      </c>
      <c r="I3" s="3" t="s">
        <v>341</v>
      </c>
      <c r="J3" s="3" t="s">
        <v>347</v>
      </c>
      <c r="K3" s="5"/>
    </row>
    <row r="4" spans="1:11" x14ac:dyDescent="0.25">
      <c r="A4" s="3" t="s">
        <v>220</v>
      </c>
      <c r="B4" s="3" t="s">
        <v>341</v>
      </c>
      <c r="C4" s="3" t="s">
        <v>342</v>
      </c>
      <c r="D4" s="4"/>
      <c r="E4" s="4"/>
      <c r="F4" s="2">
        <v>221</v>
      </c>
      <c r="G4" s="2">
        <v>0</v>
      </c>
      <c r="H4" s="3" t="s">
        <v>343</v>
      </c>
      <c r="I4" s="3" t="s">
        <v>341</v>
      </c>
      <c r="J4" s="3" t="s">
        <v>344</v>
      </c>
      <c r="K4" s="5"/>
    </row>
    <row r="5" spans="1:11" x14ac:dyDescent="0.25">
      <c r="A5" s="3" t="s">
        <v>42</v>
      </c>
      <c r="B5" s="3" t="s">
        <v>43</v>
      </c>
      <c r="C5" s="3" t="s">
        <v>44</v>
      </c>
      <c r="D5" s="4"/>
      <c r="E5" s="2">
        <v>34</v>
      </c>
      <c r="F5" s="2">
        <v>212</v>
      </c>
      <c r="G5" s="2">
        <v>329</v>
      </c>
      <c r="H5" s="3" t="s">
        <v>45</v>
      </c>
      <c r="I5" s="3" t="s">
        <v>46</v>
      </c>
      <c r="J5" s="3" t="s">
        <v>47</v>
      </c>
      <c r="K5" s="5">
        <v>1</v>
      </c>
    </row>
    <row r="6" spans="1:11" x14ac:dyDescent="0.25">
      <c r="A6" s="3" t="s">
        <v>48</v>
      </c>
      <c r="B6" s="3" t="s">
        <v>49</v>
      </c>
      <c r="C6" s="3" t="s">
        <v>50</v>
      </c>
      <c r="D6" s="2">
        <v>33</v>
      </c>
      <c r="E6" s="4"/>
      <c r="F6" s="2">
        <v>220</v>
      </c>
      <c r="G6" s="2">
        <v>330</v>
      </c>
      <c r="H6" s="3" t="s">
        <v>45</v>
      </c>
      <c r="I6" s="3" t="s">
        <v>51</v>
      </c>
      <c r="J6" s="3" t="s">
        <v>52</v>
      </c>
      <c r="K6" s="5">
        <v>1</v>
      </c>
    </row>
    <row r="7" spans="1:11" x14ac:dyDescent="0.25">
      <c r="A7" s="3" t="s">
        <v>34</v>
      </c>
      <c r="B7" s="3" t="s">
        <v>174</v>
      </c>
      <c r="C7" s="3" t="s">
        <v>159</v>
      </c>
      <c r="D7" s="2">
        <v>30</v>
      </c>
      <c r="E7" s="2">
        <v>30</v>
      </c>
      <c r="F7" s="2">
        <v>216</v>
      </c>
      <c r="G7" s="2">
        <v>331</v>
      </c>
      <c r="H7" s="3" t="s">
        <v>45</v>
      </c>
      <c r="I7" s="3" t="s">
        <v>175</v>
      </c>
      <c r="J7" s="3" t="s">
        <v>161</v>
      </c>
      <c r="K7" s="5">
        <v>1</v>
      </c>
    </row>
    <row r="8" spans="1:11" x14ac:dyDescent="0.25">
      <c r="A8" s="3" t="s">
        <v>34</v>
      </c>
      <c r="B8" s="3" t="s">
        <v>174</v>
      </c>
      <c r="C8" s="3" t="s">
        <v>238</v>
      </c>
      <c r="D8" s="2">
        <v>30</v>
      </c>
      <c r="E8" s="2">
        <v>30</v>
      </c>
      <c r="F8" s="2">
        <v>216</v>
      </c>
      <c r="G8" s="2">
        <v>331</v>
      </c>
      <c r="H8" s="3" t="s">
        <v>45</v>
      </c>
      <c r="I8" s="3" t="s">
        <v>175</v>
      </c>
      <c r="J8" s="3" t="s">
        <v>239</v>
      </c>
      <c r="K8" s="5">
        <v>1</v>
      </c>
    </row>
    <row r="9" spans="1:11" x14ac:dyDescent="0.25">
      <c r="A9" s="3" t="s">
        <v>34</v>
      </c>
      <c r="B9" s="3" t="s">
        <v>176</v>
      </c>
      <c r="C9" s="3" t="s">
        <v>159</v>
      </c>
      <c r="D9" s="2">
        <v>30</v>
      </c>
      <c r="E9" s="2">
        <v>30</v>
      </c>
      <c r="F9" s="2">
        <v>216</v>
      </c>
      <c r="G9" s="2">
        <v>332</v>
      </c>
      <c r="H9" s="3" t="s">
        <v>45</v>
      </c>
      <c r="I9" s="3" t="s">
        <v>177</v>
      </c>
      <c r="J9" s="3" t="s">
        <v>161</v>
      </c>
      <c r="K9" s="5">
        <v>1</v>
      </c>
    </row>
    <row r="10" spans="1:11" x14ac:dyDescent="0.25">
      <c r="A10" s="3" t="s">
        <v>30</v>
      </c>
      <c r="B10" s="3" t="s">
        <v>176</v>
      </c>
      <c r="C10" s="3" t="s">
        <v>238</v>
      </c>
      <c r="D10" s="2">
        <v>30</v>
      </c>
      <c r="E10" s="2">
        <v>30</v>
      </c>
      <c r="F10" s="2">
        <v>211</v>
      </c>
      <c r="G10" s="2">
        <v>332</v>
      </c>
      <c r="H10" s="3" t="s">
        <v>45</v>
      </c>
      <c r="I10" s="3" t="s">
        <v>177</v>
      </c>
      <c r="J10" s="3" t="s">
        <v>239</v>
      </c>
      <c r="K10" s="5">
        <v>1</v>
      </c>
    </row>
    <row r="11" spans="1:11" x14ac:dyDescent="0.25">
      <c r="A11" s="3" t="s">
        <v>34</v>
      </c>
      <c r="B11" s="3" t="s">
        <v>176</v>
      </c>
      <c r="C11" s="3" t="s">
        <v>238</v>
      </c>
      <c r="D11" s="2">
        <v>30</v>
      </c>
      <c r="E11" s="2">
        <v>30</v>
      </c>
      <c r="F11" s="2">
        <v>216</v>
      </c>
      <c r="G11" s="2">
        <v>332</v>
      </c>
      <c r="H11" s="3" t="s">
        <v>45</v>
      </c>
      <c r="I11" s="3" t="s">
        <v>177</v>
      </c>
      <c r="J11" s="3" t="s">
        <v>239</v>
      </c>
      <c r="K11" s="5">
        <v>1</v>
      </c>
    </row>
    <row r="12" spans="1:11" x14ac:dyDescent="0.25">
      <c r="A12" s="3" t="s">
        <v>30</v>
      </c>
      <c r="B12" s="3" t="s">
        <v>282</v>
      </c>
      <c r="C12" s="3" t="s">
        <v>238</v>
      </c>
      <c r="D12" s="2">
        <v>30</v>
      </c>
      <c r="E12" s="2">
        <v>30</v>
      </c>
      <c r="F12" s="2">
        <v>211</v>
      </c>
      <c r="G12" s="2">
        <v>333</v>
      </c>
      <c r="H12" s="3" t="s">
        <v>45</v>
      </c>
      <c r="I12" s="3" t="s">
        <v>283</v>
      </c>
      <c r="J12" s="3" t="s">
        <v>239</v>
      </c>
      <c r="K12" s="5">
        <v>1</v>
      </c>
    </row>
    <row r="13" spans="1:11" x14ac:dyDescent="0.25">
      <c r="A13" s="3" t="s">
        <v>30</v>
      </c>
      <c r="B13" s="3" t="s">
        <v>284</v>
      </c>
      <c r="C13" s="3" t="s">
        <v>238</v>
      </c>
      <c r="D13" s="2">
        <v>30</v>
      </c>
      <c r="E13" s="2">
        <v>30</v>
      </c>
      <c r="F13" s="2">
        <v>211</v>
      </c>
      <c r="G13" s="2">
        <v>334</v>
      </c>
      <c r="H13" s="3" t="s">
        <v>45</v>
      </c>
      <c r="I13" s="3" t="s">
        <v>285</v>
      </c>
      <c r="J13" s="3" t="s">
        <v>239</v>
      </c>
      <c r="K13" s="5">
        <v>1</v>
      </c>
    </row>
    <row r="14" spans="1:11" x14ac:dyDescent="0.25">
      <c r="A14" s="3" t="s">
        <v>30</v>
      </c>
      <c r="B14" s="3" t="s">
        <v>310</v>
      </c>
      <c r="C14" s="3" t="s">
        <v>238</v>
      </c>
      <c r="D14" s="2">
        <v>30</v>
      </c>
      <c r="E14" s="4"/>
      <c r="F14" s="2">
        <v>211</v>
      </c>
      <c r="G14" s="2">
        <v>474</v>
      </c>
      <c r="H14" s="3" t="s">
        <v>45</v>
      </c>
      <c r="I14" s="3" t="s">
        <v>311</v>
      </c>
      <c r="J14" s="3" t="s">
        <v>239</v>
      </c>
      <c r="K14" s="5">
        <v>1</v>
      </c>
    </row>
    <row r="15" spans="1:11" x14ac:dyDescent="0.25">
      <c r="A15" s="3" t="s">
        <v>30</v>
      </c>
      <c r="B15" s="3" t="s">
        <v>286</v>
      </c>
      <c r="C15" s="3" t="s">
        <v>238</v>
      </c>
      <c r="D15" s="2">
        <v>30</v>
      </c>
      <c r="E15" s="2">
        <v>30</v>
      </c>
      <c r="F15" s="2">
        <v>211</v>
      </c>
      <c r="G15" s="2">
        <v>335</v>
      </c>
      <c r="H15" s="3" t="s">
        <v>45</v>
      </c>
      <c r="I15" s="3" t="s">
        <v>287</v>
      </c>
      <c r="J15" s="3" t="s">
        <v>239</v>
      </c>
      <c r="K15" s="5">
        <v>1</v>
      </c>
    </row>
    <row r="16" spans="1:11" x14ac:dyDescent="0.25">
      <c r="A16" s="3" t="s">
        <v>62</v>
      </c>
      <c r="B16" s="3" t="s">
        <v>104</v>
      </c>
      <c r="C16" s="3" t="s">
        <v>64</v>
      </c>
      <c r="D16" s="2">
        <v>30</v>
      </c>
      <c r="E16" s="2">
        <v>30</v>
      </c>
      <c r="F16" s="2">
        <v>222</v>
      </c>
      <c r="G16" s="2">
        <v>336</v>
      </c>
      <c r="H16" s="3" t="s">
        <v>45</v>
      </c>
      <c r="I16" s="3" t="s">
        <v>105</v>
      </c>
      <c r="J16" s="3" t="s">
        <v>66</v>
      </c>
      <c r="K16" s="5">
        <v>1</v>
      </c>
    </row>
    <row r="17" spans="1:11" x14ac:dyDescent="0.25">
      <c r="A17" s="3" t="s">
        <v>62</v>
      </c>
      <c r="B17" s="3" t="s">
        <v>104</v>
      </c>
      <c r="C17" s="3" t="s">
        <v>144</v>
      </c>
      <c r="D17" s="4"/>
      <c r="E17" s="2">
        <v>36</v>
      </c>
      <c r="F17" s="2">
        <v>222</v>
      </c>
      <c r="G17" s="2">
        <v>336</v>
      </c>
      <c r="H17" s="3" t="s">
        <v>45</v>
      </c>
      <c r="I17" s="3" t="s">
        <v>105</v>
      </c>
      <c r="J17" s="3" t="s">
        <v>145</v>
      </c>
      <c r="K17" s="5">
        <v>2</v>
      </c>
    </row>
    <row r="18" spans="1:11" x14ac:dyDescent="0.25">
      <c r="A18" s="3" t="s">
        <v>255</v>
      </c>
      <c r="B18" s="3" t="s">
        <v>302</v>
      </c>
      <c r="C18" s="3" t="s">
        <v>238</v>
      </c>
      <c r="D18" s="2">
        <v>30</v>
      </c>
      <c r="E18" s="2">
        <v>30</v>
      </c>
      <c r="F18" s="2">
        <v>218</v>
      </c>
      <c r="G18" s="2">
        <v>466</v>
      </c>
      <c r="H18" s="3" t="s">
        <v>45</v>
      </c>
      <c r="I18" s="3" t="s">
        <v>303</v>
      </c>
      <c r="J18" s="3" t="s">
        <v>239</v>
      </c>
      <c r="K18" s="5">
        <v>1</v>
      </c>
    </row>
    <row r="19" spans="1:11" x14ac:dyDescent="0.25">
      <c r="A19" s="3" t="s">
        <v>57</v>
      </c>
      <c r="B19" s="3" t="s">
        <v>58</v>
      </c>
      <c r="C19" s="3" t="s">
        <v>59</v>
      </c>
      <c r="D19" s="2">
        <v>52</v>
      </c>
      <c r="E19" s="4"/>
      <c r="F19" s="2">
        <v>214</v>
      </c>
      <c r="G19" s="2">
        <v>338</v>
      </c>
      <c r="H19" s="3" t="s">
        <v>45</v>
      </c>
      <c r="I19" s="3" t="s">
        <v>60</v>
      </c>
      <c r="J19" s="3" t="s">
        <v>61</v>
      </c>
      <c r="K19" s="5">
        <v>2</v>
      </c>
    </row>
    <row r="20" spans="1:11" x14ac:dyDescent="0.25">
      <c r="A20" s="3" t="s">
        <v>57</v>
      </c>
      <c r="B20" s="3" t="s">
        <v>58</v>
      </c>
      <c r="C20" s="3" t="s">
        <v>318</v>
      </c>
      <c r="D20" s="2">
        <v>32</v>
      </c>
      <c r="E20" s="4"/>
      <c r="F20" s="2">
        <v>214</v>
      </c>
      <c r="G20" s="2">
        <v>338</v>
      </c>
      <c r="H20" s="3" t="s">
        <v>45</v>
      </c>
      <c r="I20" s="3" t="s">
        <v>60</v>
      </c>
      <c r="J20" s="3" t="s">
        <v>319</v>
      </c>
      <c r="K20" s="5">
        <v>1</v>
      </c>
    </row>
    <row r="21" spans="1:11" x14ac:dyDescent="0.25">
      <c r="A21" s="3" t="s">
        <v>85</v>
      </c>
      <c r="B21" s="3" t="s">
        <v>106</v>
      </c>
      <c r="C21" s="3" t="s">
        <v>64</v>
      </c>
      <c r="D21" s="2">
        <v>30</v>
      </c>
      <c r="E21" s="4"/>
      <c r="F21" s="2">
        <v>217</v>
      </c>
      <c r="G21" s="2">
        <v>339</v>
      </c>
      <c r="H21" s="3" t="s">
        <v>45</v>
      </c>
      <c r="I21" s="3" t="s">
        <v>107</v>
      </c>
      <c r="J21" s="3" t="s">
        <v>66</v>
      </c>
      <c r="K21" s="5">
        <v>1</v>
      </c>
    </row>
    <row r="22" spans="1:11" x14ac:dyDescent="0.25">
      <c r="A22" s="3" t="s">
        <v>85</v>
      </c>
      <c r="B22" s="3" t="s">
        <v>106</v>
      </c>
      <c r="C22" s="3" t="s">
        <v>183</v>
      </c>
      <c r="D22" s="2">
        <v>60</v>
      </c>
      <c r="E22" s="4"/>
      <c r="F22" s="2">
        <v>217</v>
      </c>
      <c r="G22" s="2">
        <v>339</v>
      </c>
      <c r="H22" s="3" t="s">
        <v>45</v>
      </c>
      <c r="I22" s="3" t="s">
        <v>107</v>
      </c>
      <c r="J22" s="3" t="s">
        <v>185</v>
      </c>
      <c r="K22" s="5">
        <v>2</v>
      </c>
    </row>
    <row r="23" spans="1:11" x14ac:dyDescent="0.25">
      <c r="A23" s="3" t="s">
        <v>85</v>
      </c>
      <c r="B23" s="3" t="s">
        <v>108</v>
      </c>
      <c r="C23" s="3" t="s">
        <v>64</v>
      </c>
      <c r="D23" s="2">
        <v>30</v>
      </c>
      <c r="E23" s="2">
        <v>30</v>
      </c>
      <c r="F23" s="2">
        <v>217</v>
      </c>
      <c r="G23" s="2">
        <v>340</v>
      </c>
      <c r="H23" s="3" t="s">
        <v>45</v>
      </c>
      <c r="I23" s="3" t="s">
        <v>109</v>
      </c>
      <c r="J23" s="3" t="s">
        <v>66</v>
      </c>
      <c r="K23" s="5">
        <v>1</v>
      </c>
    </row>
    <row r="24" spans="1:11" x14ac:dyDescent="0.25">
      <c r="A24" s="3" t="s">
        <v>85</v>
      </c>
      <c r="B24" s="3" t="s">
        <v>110</v>
      </c>
      <c r="C24" s="3" t="s">
        <v>64</v>
      </c>
      <c r="D24" s="2">
        <v>30</v>
      </c>
      <c r="E24" s="4"/>
      <c r="F24" s="2">
        <v>217</v>
      </c>
      <c r="G24" s="2">
        <v>341</v>
      </c>
      <c r="H24" s="3" t="s">
        <v>45</v>
      </c>
      <c r="I24" s="3" t="s">
        <v>111</v>
      </c>
      <c r="J24" s="3" t="s">
        <v>66</v>
      </c>
      <c r="K24" s="5">
        <v>1</v>
      </c>
    </row>
    <row r="25" spans="1:11" x14ac:dyDescent="0.25">
      <c r="A25" s="3" t="s">
        <v>62</v>
      </c>
      <c r="B25" s="3" t="s">
        <v>288</v>
      </c>
      <c r="C25" s="3" t="s">
        <v>238</v>
      </c>
      <c r="D25" s="2">
        <v>30</v>
      </c>
      <c r="E25" s="2">
        <v>30</v>
      </c>
      <c r="F25" s="2">
        <v>222</v>
      </c>
      <c r="G25" s="2">
        <v>342</v>
      </c>
      <c r="H25" s="3" t="s">
        <v>45</v>
      </c>
      <c r="I25" s="3" t="s">
        <v>289</v>
      </c>
      <c r="J25" s="3" t="s">
        <v>239</v>
      </c>
      <c r="K25" s="5">
        <v>1</v>
      </c>
    </row>
    <row r="26" spans="1:11" x14ac:dyDescent="0.25">
      <c r="A26" s="3" t="s">
        <v>62</v>
      </c>
      <c r="B26" s="3" t="s">
        <v>288</v>
      </c>
      <c r="C26" s="3" t="s">
        <v>335</v>
      </c>
      <c r="D26" s="4"/>
      <c r="E26" s="2">
        <v>36</v>
      </c>
      <c r="F26" s="2">
        <v>222</v>
      </c>
      <c r="G26" s="2">
        <v>342</v>
      </c>
      <c r="H26" s="3" t="s">
        <v>45</v>
      </c>
      <c r="I26" s="3" t="s">
        <v>289</v>
      </c>
      <c r="J26" s="3" t="s">
        <v>317</v>
      </c>
      <c r="K26" s="5">
        <v>2</v>
      </c>
    </row>
    <row r="27" spans="1:11" x14ac:dyDescent="0.25">
      <c r="A27" s="3" t="s">
        <v>2</v>
      </c>
      <c r="B27" s="3" t="s">
        <v>3</v>
      </c>
      <c r="C27" s="3" t="s">
        <v>4</v>
      </c>
      <c r="D27" s="4"/>
      <c r="E27" s="2">
        <v>125</v>
      </c>
      <c r="F27" s="2">
        <v>219</v>
      </c>
      <c r="G27" s="2">
        <v>343</v>
      </c>
      <c r="H27" s="3" t="s">
        <v>5</v>
      </c>
      <c r="I27" s="3" t="s">
        <v>6</v>
      </c>
      <c r="J27" s="3" t="s">
        <v>6</v>
      </c>
      <c r="K27" s="5">
        <v>4</v>
      </c>
    </row>
    <row r="28" spans="1:11" x14ac:dyDescent="0.25">
      <c r="A28" s="3" t="s">
        <v>262</v>
      </c>
      <c r="B28" s="3" t="s">
        <v>290</v>
      </c>
      <c r="C28" s="3" t="s">
        <v>238</v>
      </c>
      <c r="D28" s="2">
        <v>30</v>
      </c>
      <c r="E28" s="4"/>
      <c r="F28" s="2">
        <v>223</v>
      </c>
      <c r="G28" s="2">
        <v>344</v>
      </c>
      <c r="H28" s="3" t="s">
        <v>45</v>
      </c>
      <c r="I28" s="3" t="s">
        <v>291</v>
      </c>
      <c r="J28" s="3" t="s">
        <v>239</v>
      </c>
      <c r="K28" s="5">
        <v>1</v>
      </c>
    </row>
    <row r="29" spans="1:11" x14ac:dyDescent="0.25">
      <c r="A29" s="3" t="s">
        <v>34</v>
      </c>
      <c r="B29" s="3" t="s">
        <v>178</v>
      </c>
      <c r="C29" s="3" t="s">
        <v>159</v>
      </c>
      <c r="D29" s="2">
        <v>30</v>
      </c>
      <c r="E29" s="2">
        <v>30</v>
      </c>
      <c r="F29" s="2">
        <v>216</v>
      </c>
      <c r="G29" s="2">
        <v>345</v>
      </c>
      <c r="H29" s="3" t="s">
        <v>45</v>
      </c>
      <c r="I29" s="3" t="s">
        <v>179</v>
      </c>
      <c r="J29" s="3" t="s">
        <v>161</v>
      </c>
      <c r="K29" s="5">
        <v>1</v>
      </c>
    </row>
    <row r="30" spans="1:11" x14ac:dyDescent="0.25">
      <c r="A30" s="3" t="s">
        <v>34</v>
      </c>
      <c r="B30" s="3" t="s">
        <v>178</v>
      </c>
      <c r="C30" s="3" t="s">
        <v>238</v>
      </c>
      <c r="D30" s="2">
        <v>30</v>
      </c>
      <c r="E30" s="2">
        <v>30</v>
      </c>
      <c r="F30" s="2">
        <v>216</v>
      </c>
      <c r="G30" s="2">
        <v>345</v>
      </c>
      <c r="H30" s="3" t="s">
        <v>45</v>
      </c>
      <c r="I30" s="3" t="s">
        <v>179</v>
      </c>
      <c r="J30" s="3" t="s">
        <v>239</v>
      </c>
      <c r="K30" s="5">
        <v>1</v>
      </c>
    </row>
    <row r="31" spans="1:11" x14ac:dyDescent="0.25">
      <c r="A31" s="3" t="s">
        <v>2</v>
      </c>
      <c r="B31" s="3" t="s">
        <v>314</v>
      </c>
      <c r="C31" s="3" t="s">
        <v>238</v>
      </c>
      <c r="D31" s="2">
        <v>30</v>
      </c>
      <c r="E31" s="2">
        <v>30</v>
      </c>
      <c r="F31" s="2">
        <v>219</v>
      </c>
      <c r="G31" s="2">
        <v>501</v>
      </c>
      <c r="H31" s="3" t="s">
        <v>45</v>
      </c>
      <c r="I31" s="3" t="s">
        <v>315</v>
      </c>
      <c r="J31" s="3" t="s">
        <v>239</v>
      </c>
      <c r="K31" s="18">
        <v>1</v>
      </c>
    </row>
    <row r="32" spans="1:11" x14ac:dyDescent="0.25">
      <c r="A32" s="3" t="s">
        <v>262</v>
      </c>
      <c r="B32" s="3" t="s">
        <v>314</v>
      </c>
      <c r="C32" s="3" t="s">
        <v>238</v>
      </c>
      <c r="D32" s="2">
        <v>30</v>
      </c>
      <c r="E32" s="2">
        <v>30</v>
      </c>
      <c r="F32" s="2">
        <v>223</v>
      </c>
      <c r="G32" s="2">
        <v>501</v>
      </c>
      <c r="H32" s="3" t="s">
        <v>45</v>
      </c>
      <c r="I32" s="3" t="s">
        <v>315</v>
      </c>
      <c r="J32" s="3" t="s">
        <v>239</v>
      </c>
      <c r="K32" s="18">
        <v>1</v>
      </c>
    </row>
    <row r="33" spans="1:11" x14ac:dyDescent="0.25">
      <c r="A33" s="3" t="s">
        <v>30</v>
      </c>
      <c r="B33" s="3" t="s">
        <v>292</v>
      </c>
      <c r="C33" s="3" t="s">
        <v>238</v>
      </c>
      <c r="D33" s="2">
        <v>30</v>
      </c>
      <c r="E33" s="4"/>
      <c r="F33" s="2">
        <v>211</v>
      </c>
      <c r="G33" s="2">
        <v>346</v>
      </c>
      <c r="H33" s="3" t="s">
        <v>45</v>
      </c>
      <c r="I33" s="3" t="s">
        <v>293</v>
      </c>
      <c r="J33" s="3" t="s">
        <v>239</v>
      </c>
      <c r="K33" s="5">
        <v>1</v>
      </c>
    </row>
    <row r="34" spans="1:11" x14ac:dyDescent="0.25">
      <c r="A34" s="3" t="s">
        <v>62</v>
      </c>
      <c r="B34" s="3" t="s">
        <v>292</v>
      </c>
      <c r="C34" s="3" t="s">
        <v>238</v>
      </c>
      <c r="D34" s="2">
        <v>30</v>
      </c>
      <c r="E34" s="4"/>
      <c r="F34" s="2">
        <v>222</v>
      </c>
      <c r="G34" s="2">
        <v>346</v>
      </c>
      <c r="H34" s="3" t="s">
        <v>45</v>
      </c>
      <c r="I34" s="3" t="s">
        <v>293</v>
      </c>
      <c r="J34" s="3" t="s">
        <v>239</v>
      </c>
      <c r="K34" s="5">
        <v>1</v>
      </c>
    </row>
    <row r="35" spans="1:11" x14ac:dyDescent="0.25">
      <c r="A35" s="3" t="s">
        <v>30</v>
      </c>
      <c r="B35" s="3" t="s">
        <v>292</v>
      </c>
      <c r="C35" s="3" t="s">
        <v>335</v>
      </c>
      <c r="D35" s="4"/>
      <c r="E35" s="2">
        <v>36</v>
      </c>
      <c r="F35" s="2">
        <v>211</v>
      </c>
      <c r="G35" s="2">
        <v>346</v>
      </c>
      <c r="H35" s="3" t="s">
        <v>45</v>
      </c>
      <c r="I35" s="3" t="s">
        <v>293</v>
      </c>
      <c r="J35" s="3" t="s">
        <v>317</v>
      </c>
      <c r="K35" s="5">
        <v>2</v>
      </c>
    </row>
    <row r="36" spans="1:11" x14ac:dyDescent="0.25">
      <c r="A36" s="3" t="s">
        <v>62</v>
      </c>
      <c r="B36" s="3" t="s">
        <v>292</v>
      </c>
      <c r="C36" s="3" t="s">
        <v>335</v>
      </c>
      <c r="D36" s="4"/>
      <c r="E36" s="2">
        <v>36</v>
      </c>
      <c r="F36" s="2">
        <v>222</v>
      </c>
      <c r="G36" s="2">
        <v>346</v>
      </c>
      <c r="H36" s="3" t="s">
        <v>45</v>
      </c>
      <c r="I36" s="3" t="s">
        <v>293</v>
      </c>
      <c r="J36" s="3" t="s">
        <v>317</v>
      </c>
      <c r="K36" s="5">
        <v>2</v>
      </c>
    </row>
    <row r="37" spans="1:11" x14ac:dyDescent="0.25">
      <c r="A37" s="3" t="s">
        <v>57</v>
      </c>
      <c r="B37" s="3" t="s">
        <v>150</v>
      </c>
      <c r="C37" s="3" t="s">
        <v>151</v>
      </c>
      <c r="D37" s="4"/>
      <c r="E37" s="2">
        <v>33</v>
      </c>
      <c r="F37" s="2">
        <v>214</v>
      </c>
      <c r="G37" s="2">
        <v>347</v>
      </c>
      <c r="H37" s="3" t="s">
        <v>45</v>
      </c>
      <c r="I37" s="3" t="s">
        <v>152</v>
      </c>
      <c r="J37" s="3" t="s">
        <v>153</v>
      </c>
      <c r="K37" s="5">
        <v>1</v>
      </c>
    </row>
    <row r="38" spans="1:11" x14ac:dyDescent="0.25">
      <c r="A38" s="3" t="s">
        <v>57</v>
      </c>
      <c r="B38" s="3" t="s">
        <v>150</v>
      </c>
      <c r="C38" s="3" t="s">
        <v>320</v>
      </c>
      <c r="D38" s="2">
        <v>30</v>
      </c>
      <c r="E38" s="4"/>
      <c r="F38" s="2">
        <v>214</v>
      </c>
      <c r="G38" s="2">
        <v>347</v>
      </c>
      <c r="H38" s="3" t="s">
        <v>45</v>
      </c>
      <c r="I38" s="3" t="s">
        <v>152</v>
      </c>
      <c r="J38" s="3" t="s">
        <v>321</v>
      </c>
      <c r="K38" s="5">
        <v>1</v>
      </c>
    </row>
    <row r="39" spans="1:11" x14ac:dyDescent="0.25">
      <c r="A39" s="3" t="s">
        <v>42</v>
      </c>
      <c r="B39" s="3" t="s">
        <v>42</v>
      </c>
      <c r="C39" s="3" t="s">
        <v>64</v>
      </c>
      <c r="D39" s="2">
        <v>30</v>
      </c>
      <c r="E39" s="2">
        <v>30</v>
      </c>
      <c r="F39" s="2">
        <v>212</v>
      </c>
      <c r="G39" s="2">
        <v>348</v>
      </c>
      <c r="H39" s="3" t="s">
        <v>45</v>
      </c>
      <c r="I39" s="3" t="s">
        <v>112</v>
      </c>
      <c r="J39" s="3" t="s">
        <v>66</v>
      </c>
      <c r="K39" s="5">
        <v>1</v>
      </c>
    </row>
    <row r="40" spans="1:11" x14ac:dyDescent="0.25">
      <c r="A40" s="3" t="s">
        <v>42</v>
      </c>
      <c r="B40" s="3" t="s">
        <v>42</v>
      </c>
      <c r="C40" s="3" t="s">
        <v>154</v>
      </c>
      <c r="D40" s="4"/>
      <c r="E40" s="2">
        <v>48</v>
      </c>
      <c r="F40" s="2">
        <v>212</v>
      </c>
      <c r="G40" s="2">
        <v>348</v>
      </c>
      <c r="H40" s="3" t="s">
        <v>45</v>
      </c>
      <c r="I40" s="3" t="s">
        <v>112</v>
      </c>
      <c r="J40" s="3" t="s">
        <v>155</v>
      </c>
      <c r="K40" s="5">
        <v>2</v>
      </c>
    </row>
    <row r="41" spans="1:11" x14ac:dyDescent="0.25">
      <c r="A41" s="3" t="s">
        <v>42</v>
      </c>
      <c r="B41" s="3" t="s">
        <v>42</v>
      </c>
      <c r="C41" s="3" t="s">
        <v>238</v>
      </c>
      <c r="D41" s="2">
        <v>30</v>
      </c>
      <c r="E41" s="2">
        <v>30</v>
      </c>
      <c r="F41" s="2">
        <v>212</v>
      </c>
      <c r="G41" s="2">
        <v>348</v>
      </c>
      <c r="H41" s="3" t="s">
        <v>45</v>
      </c>
      <c r="I41" s="3" t="s">
        <v>112</v>
      </c>
      <c r="J41" s="3" t="s">
        <v>239</v>
      </c>
      <c r="K41" s="5">
        <v>1</v>
      </c>
    </row>
    <row r="42" spans="1:11" x14ac:dyDescent="0.25">
      <c r="A42" s="3" t="s">
        <v>34</v>
      </c>
      <c r="B42" s="3" t="s">
        <v>40</v>
      </c>
      <c r="C42" s="3" t="s">
        <v>159</v>
      </c>
      <c r="D42" s="2">
        <v>30</v>
      </c>
      <c r="E42" s="2">
        <v>30</v>
      </c>
      <c r="F42" s="2">
        <v>216</v>
      </c>
      <c r="G42" s="2">
        <v>349</v>
      </c>
      <c r="H42" s="3" t="s">
        <v>45</v>
      </c>
      <c r="I42" s="3" t="s">
        <v>41</v>
      </c>
      <c r="J42" s="3" t="s">
        <v>161</v>
      </c>
      <c r="K42" s="5">
        <v>1</v>
      </c>
    </row>
    <row r="43" spans="1:11" x14ac:dyDescent="0.25">
      <c r="A43" s="3" t="s">
        <v>34</v>
      </c>
      <c r="B43" s="3" t="s">
        <v>40</v>
      </c>
      <c r="C43" s="3" t="s">
        <v>36</v>
      </c>
      <c r="D43" s="2">
        <v>30</v>
      </c>
      <c r="E43" s="2">
        <v>30</v>
      </c>
      <c r="F43" s="2">
        <v>216</v>
      </c>
      <c r="G43" s="2">
        <v>349</v>
      </c>
      <c r="H43" s="3" t="s">
        <v>37</v>
      </c>
      <c r="I43" s="3" t="s">
        <v>41</v>
      </c>
      <c r="J43" s="3" t="s">
        <v>39</v>
      </c>
      <c r="K43" s="5">
        <v>1</v>
      </c>
    </row>
    <row r="44" spans="1:11" x14ac:dyDescent="0.25">
      <c r="A44" s="3" t="s">
        <v>34</v>
      </c>
      <c r="B44" s="3" t="s">
        <v>40</v>
      </c>
      <c r="C44" s="3" t="s">
        <v>238</v>
      </c>
      <c r="D44" s="2">
        <v>30</v>
      </c>
      <c r="E44" s="2">
        <v>30</v>
      </c>
      <c r="F44" s="2">
        <v>216</v>
      </c>
      <c r="G44" s="2">
        <v>349</v>
      </c>
      <c r="H44" s="3" t="s">
        <v>45</v>
      </c>
      <c r="I44" s="3" t="s">
        <v>41</v>
      </c>
      <c r="J44" s="3" t="s">
        <v>239</v>
      </c>
      <c r="K44" s="5">
        <v>1</v>
      </c>
    </row>
    <row r="45" spans="1:11" x14ac:dyDescent="0.25">
      <c r="A45" s="3" t="s">
        <v>62</v>
      </c>
      <c r="B45" s="3" t="s">
        <v>294</v>
      </c>
      <c r="C45" s="3" t="s">
        <v>238</v>
      </c>
      <c r="D45" s="2">
        <v>30</v>
      </c>
      <c r="E45" s="2">
        <v>30</v>
      </c>
      <c r="F45" s="2">
        <v>222</v>
      </c>
      <c r="G45" s="2">
        <v>350</v>
      </c>
      <c r="H45" s="3" t="s">
        <v>45</v>
      </c>
      <c r="I45" s="3" t="s">
        <v>295</v>
      </c>
      <c r="J45" s="3" t="s">
        <v>239</v>
      </c>
      <c r="K45" s="5">
        <v>1</v>
      </c>
    </row>
    <row r="46" spans="1:11" x14ac:dyDescent="0.25">
      <c r="A46" s="3" t="s">
        <v>62</v>
      </c>
      <c r="B46" s="3" t="s">
        <v>294</v>
      </c>
      <c r="C46" s="3" t="s">
        <v>335</v>
      </c>
      <c r="D46" s="4"/>
      <c r="E46" s="2">
        <v>36</v>
      </c>
      <c r="F46" s="2">
        <v>222</v>
      </c>
      <c r="G46" s="2">
        <v>350</v>
      </c>
      <c r="H46" s="3" t="s">
        <v>45</v>
      </c>
      <c r="I46" s="3" t="s">
        <v>295</v>
      </c>
      <c r="J46" s="3" t="s">
        <v>317</v>
      </c>
      <c r="K46" s="5">
        <v>2</v>
      </c>
    </row>
    <row r="47" spans="1:11" x14ac:dyDescent="0.25">
      <c r="A47" s="3" t="s">
        <v>34</v>
      </c>
      <c r="B47" s="3" t="s">
        <v>180</v>
      </c>
      <c r="C47" s="3" t="s">
        <v>159</v>
      </c>
      <c r="D47" s="2">
        <v>30</v>
      </c>
      <c r="E47" s="2">
        <v>30</v>
      </c>
      <c r="F47" s="2">
        <v>216</v>
      </c>
      <c r="G47" s="2">
        <v>351</v>
      </c>
      <c r="H47" s="3" t="s">
        <v>45</v>
      </c>
      <c r="I47" s="3" t="s">
        <v>181</v>
      </c>
      <c r="J47" s="3" t="s">
        <v>161</v>
      </c>
      <c r="K47" s="5">
        <v>1</v>
      </c>
    </row>
    <row r="48" spans="1:11" x14ac:dyDescent="0.25">
      <c r="A48" s="3" t="s">
        <v>34</v>
      </c>
      <c r="B48" s="3" t="s">
        <v>180</v>
      </c>
      <c r="C48" s="3" t="s">
        <v>238</v>
      </c>
      <c r="D48" s="2">
        <v>30</v>
      </c>
      <c r="E48" s="2">
        <v>30</v>
      </c>
      <c r="F48" s="2">
        <v>216</v>
      </c>
      <c r="G48" s="2">
        <v>351</v>
      </c>
      <c r="H48" s="3" t="s">
        <v>45</v>
      </c>
      <c r="I48" s="3" t="s">
        <v>181</v>
      </c>
      <c r="J48" s="3" t="s">
        <v>239</v>
      </c>
      <c r="K48" s="5">
        <v>1</v>
      </c>
    </row>
    <row r="49" spans="1:11" x14ac:dyDescent="0.25">
      <c r="A49" s="3" t="s">
        <v>62</v>
      </c>
      <c r="B49" s="3" t="s">
        <v>63</v>
      </c>
      <c r="C49" s="3" t="s">
        <v>64</v>
      </c>
      <c r="D49" s="2">
        <v>30</v>
      </c>
      <c r="E49" s="4"/>
      <c r="F49" s="2">
        <v>222</v>
      </c>
      <c r="G49" s="2">
        <v>41</v>
      </c>
      <c r="H49" s="3" t="s">
        <v>45</v>
      </c>
      <c r="I49" s="3" t="s">
        <v>65</v>
      </c>
      <c r="J49" s="3" t="s">
        <v>66</v>
      </c>
      <c r="K49" s="5">
        <v>1</v>
      </c>
    </row>
    <row r="50" spans="1:11" x14ac:dyDescent="0.25">
      <c r="A50" s="3" t="s">
        <v>34</v>
      </c>
      <c r="B50" s="3" t="s">
        <v>158</v>
      </c>
      <c r="C50" s="3" t="s">
        <v>159</v>
      </c>
      <c r="D50" s="2">
        <v>30</v>
      </c>
      <c r="E50" s="2">
        <v>30</v>
      </c>
      <c r="F50" s="2">
        <v>216</v>
      </c>
      <c r="G50" s="2">
        <v>42</v>
      </c>
      <c r="H50" s="3" t="s">
        <v>45</v>
      </c>
      <c r="I50" s="3" t="s">
        <v>160</v>
      </c>
      <c r="J50" s="3" t="s">
        <v>161</v>
      </c>
      <c r="K50" s="5">
        <v>1</v>
      </c>
    </row>
    <row r="51" spans="1:11" x14ac:dyDescent="0.25">
      <c r="A51" s="3" t="s">
        <v>34</v>
      </c>
      <c r="B51" s="3" t="s">
        <v>158</v>
      </c>
      <c r="C51" s="3" t="s">
        <v>238</v>
      </c>
      <c r="D51" s="2">
        <v>30</v>
      </c>
      <c r="E51" s="2">
        <v>30</v>
      </c>
      <c r="F51" s="2">
        <v>216</v>
      </c>
      <c r="G51" s="2">
        <v>42</v>
      </c>
      <c r="H51" s="3" t="s">
        <v>45</v>
      </c>
      <c r="I51" s="3" t="s">
        <v>160</v>
      </c>
      <c r="J51" s="3" t="s">
        <v>239</v>
      </c>
      <c r="K51" s="5">
        <v>1</v>
      </c>
    </row>
    <row r="52" spans="1:11" x14ac:dyDescent="0.25">
      <c r="A52" s="3" t="s">
        <v>2</v>
      </c>
      <c r="B52" s="3" t="s">
        <v>119</v>
      </c>
      <c r="C52" s="3" t="s">
        <v>64</v>
      </c>
      <c r="D52" s="2">
        <v>30</v>
      </c>
      <c r="E52" s="2">
        <v>30</v>
      </c>
      <c r="F52" s="2">
        <v>219</v>
      </c>
      <c r="G52" s="2">
        <v>520</v>
      </c>
      <c r="H52" s="3" t="s">
        <v>45</v>
      </c>
      <c r="I52" s="3" t="s">
        <v>120</v>
      </c>
      <c r="J52" s="3" t="s">
        <v>66</v>
      </c>
      <c r="K52" s="5">
        <v>1</v>
      </c>
    </row>
    <row r="53" spans="1:11" x14ac:dyDescent="0.25">
      <c r="A53" s="3" t="s">
        <v>220</v>
      </c>
      <c r="B53" s="3" t="s">
        <v>221</v>
      </c>
      <c r="C53" s="3" t="s">
        <v>222</v>
      </c>
      <c r="D53" s="4"/>
      <c r="E53" s="2">
        <v>26</v>
      </c>
      <c r="F53" s="2">
        <v>221</v>
      </c>
      <c r="G53" s="2">
        <v>430</v>
      </c>
      <c r="H53" s="3" t="s">
        <v>45</v>
      </c>
      <c r="I53" s="3" t="s">
        <v>223</v>
      </c>
      <c r="J53" s="3" t="s">
        <v>224</v>
      </c>
      <c r="K53" s="5">
        <v>1</v>
      </c>
    </row>
    <row r="54" spans="1:11" x14ac:dyDescent="0.25">
      <c r="A54" s="3" t="s">
        <v>34</v>
      </c>
      <c r="B54" s="3" t="s">
        <v>162</v>
      </c>
      <c r="C54" s="3" t="s">
        <v>159</v>
      </c>
      <c r="D54" s="2">
        <v>30</v>
      </c>
      <c r="E54" s="2">
        <v>30</v>
      </c>
      <c r="F54" s="2">
        <v>216</v>
      </c>
      <c r="G54" s="2">
        <v>45</v>
      </c>
      <c r="H54" s="3" t="s">
        <v>45</v>
      </c>
      <c r="I54" s="3" t="s">
        <v>163</v>
      </c>
      <c r="J54" s="3" t="s">
        <v>161</v>
      </c>
      <c r="K54" s="5">
        <v>1</v>
      </c>
    </row>
    <row r="55" spans="1:11" x14ac:dyDescent="0.25">
      <c r="A55" s="3" t="s">
        <v>34</v>
      </c>
      <c r="B55" s="3" t="s">
        <v>162</v>
      </c>
      <c r="C55" s="3" t="s">
        <v>238</v>
      </c>
      <c r="D55" s="2">
        <v>30</v>
      </c>
      <c r="E55" s="2">
        <v>30</v>
      </c>
      <c r="F55" s="2">
        <v>216</v>
      </c>
      <c r="G55" s="2">
        <v>45</v>
      </c>
      <c r="H55" s="3" t="s">
        <v>45</v>
      </c>
      <c r="I55" s="3" t="s">
        <v>163</v>
      </c>
      <c r="J55" s="3" t="s">
        <v>239</v>
      </c>
      <c r="K55" s="5">
        <v>1</v>
      </c>
    </row>
    <row r="56" spans="1:11" x14ac:dyDescent="0.25">
      <c r="A56" s="3" t="s">
        <v>62</v>
      </c>
      <c r="B56" s="3" t="s">
        <v>240</v>
      </c>
      <c r="C56" s="3" t="s">
        <v>238</v>
      </c>
      <c r="D56" s="2">
        <v>30</v>
      </c>
      <c r="E56" s="2">
        <v>30</v>
      </c>
      <c r="F56" s="2">
        <v>222</v>
      </c>
      <c r="G56" s="2">
        <v>46</v>
      </c>
      <c r="H56" s="3" t="s">
        <v>45</v>
      </c>
      <c r="I56" s="3" t="s">
        <v>241</v>
      </c>
      <c r="J56" s="3" t="s">
        <v>239</v>
      </c>
      <c r="K56" s="5">
        <v>1</v>
      </c>
    </row>
    <row r="57" spans="1:11" x14ac:dyDescent="0.25">
      <c r="A57" s="3" t="s">
        <v>62</v>
      </c>
      <c r="B57" s="3" t="s">
        <v>182</v>
      </c>
      <c r="C57" s="3" t="s">
        <v>183</v>
      </c>
      <c r="D57" s="2">
        <v>54</v>
      </c>
      <c r="E57" s="4"/>
      <c r="F57" s="2">
        <v>222</v>
      </c>
      <c r="G57" s="2">
        <v>48</v>
      </c>
      <c r="H57" s="3" t="s">
        <v>45</v>
      </c>
      <c r="I57" s="3" t="s">
        <v>184</v>
      </c>
      <c r="J57" s="3" t="s">
        <v>185</v>
      </c>
      <c r="K57" s="5">
        <v>2</v>
      </c>
    </row>
    <row r="58" spans="1:11" x14ac:dyDescent="0.25">
      <c r="A58" s="3" t="s">
        <v>62</v>
      </c>
      <c r="B58" s="3" t="s">
        <v>115</v>
      </c>
      <c r="C58" s="3" t="s">
        <v>64</v>
      </c>
      <c r="D58" s="2">
        <v>30</v>
      </c>
      <c r="E58" s="2">
        <v>30</v>
      </c>
      <c r="F58" s="2">
        <v>222</v>
      </c>
      <c r="G58" s="2">
        <v>443</v>
      </c>
      <c r="H58" s="3" t="s">
        <v>45</v>
      </c>
      <c r="I58" s="3" t="s">
        <v>116</v>
      </c>
      <c r="J58" s="3" t="s">
        <v>66</v>
      </c>
      <c r="K58" s="5">
        <v>1</v>
      </c>
    </row>
    <row r="59" spans="1:11" x14ac:dyDescent="0.25">
      <c r="A59" s="3" t="s">
        <v>7</v>
      </c>
      <c r="B59" s="3" t="s">
        <v>28</v>
      </c>
      <c r="C59" s="3" t="s">
        <v>9</v>
      </c>
      <c r="D59" s="2">
        <v>90</v>
      </c>
      <c r="E59" s="4"/>
      <c r="F59" s="2">
        <v>215</v>
      </c>
      <c r="G59" s="2">
        <v>521</v>
      </c>
      <c r="H59" s="3" t="s">
        <v>5</v>
      </c>
      <c r="I59" s="3" t="s">
        <v>29</v>
      </c>
      <c r="J59" s="3" t="s">
        <v>11</v>
      </c>
      <c r="K59" s="5">
        <v>3</v>
      </c>
    </row>
    <row r="60" spans="1:11" x14ac:dyDescent="0.25">
      <c r="A60" s="3" t="s">
        <v>7</v>
      </c>
      <c r="B60" s="3" t="s">
        <v>26</v>
      </c>
      <c r="C60" s="3" t="s">
        <v>338</v>
      </c>
      <c r="D60" s="4"/>
      <c r="E60" s="2">
        <v>72</v>
      </c>
      <c r="F60" s="2">
        <v>215</v>
      </c>
      <c r="G60" s="2">
        <v>437</v>
      </c>
      <c r="H60" s="3" t="s">
        <v>339</v>
      </c>
      <c r="I60" s="3" t="s">
        <v>27</v>
      </c>
      <c r="J60" s="3" t="s">
        <v>340</v>
      </c>
      <c r="K60" s="5">
        <v>3</v>
      </c>
    </row>
    <row r="61" spans="1:11" x14ac:dyDescent="0.25">
      <c r="A61" s="3" t="s">
        <v>7</v>
      </c>
      <c r="B61" s="3" t="s">
        <v>26</v>
      </c>
      <c r="C61" s="3" t="s">
        <v>9</v>
      </c>
      <c r="D61" s="2">
        <v>90</v>
      </c>
      <c r="E61" s="4"/>
      <c r="F61" s="2">
        <v>215</v>
      </c>
      <c r="G61" s="2">
        <v>437</v>
      </c>
      <c r="H61" s="3" t="s">
        <v>5</v>
      </c>
      <c r="I61" s="3" t="s">
        <v>27</v>
      </c>
      <c r="J61" s="3" t="s">
        <v>11</v>
      </c>
      <c r="K61" s="5">
        <v>3</v>
      </c>
    </row>
    <row r="62" spans="1:11" x14ac:dyDescent="0.25">
      <c r="A62" s="3" t="s">
        <v>7</v>
      </c>
      <c r="B62" s="3" t="s">
        <v>26</v>
      </c>
      <c r="C62" s="3" t="s">
        <v>124</v>
      </c>
      <c r="D62" s="2">
        <v>30</v>
      </c>
      <c r="E62" s="4"/>
      <c r="F62" s="2">
        <v>215</v>
      </c>
      <c r="G62" s="2">
        <v>437</v>
      </c>
      <c r="H62" s="3" t="s">
        <v>45</v>
      </c>
      <c r="I62" s="3" t="s">
        <v>27</v>
      </c>
      <c r="J62" s="3" t="s">
        <v>126</v>
      </c>
      <c r="K62" s="5">
        <v>1</v>
      </c>
    </row>
    <row r="63" spans="1:11" x14ac:dyDescent="0.25">
      <c r="A63" s="3" t="s">
        <v>7</v>
      </c>
      <c r="B63" s="3" t="s">
        <v>26</v>
      </c>
      <c r="C63" s="3" t="s">
        <v>156</v>
      </c>
      <c r="D63" s="4"/>
      <c r="E63" s="2">
        <v>36</v>
      </c>
      <c r="F63" s="2">
        <v>215</v>
      </c>
      <c r="G63" s="2">
        <v>437</v>
      </c>
      <c r="H63" s="3" t="s">
        <v>45</v>
      </c>
      <c r="I63" s="3" t="s">
        <v>27</v>
      </c>
      <c r="J63" s="3" t="s">
        <v>157</v>
      </c>
      <c r="K63" s="5">
        <v>2</v>
      </c>
    </row>
    <row r="64" spans="1:11" x14ac:dyDescent="0.25">
      <c r="A64" s="3" t="s">
        <v>242</v>
      </c>
      <c r="B64" s="3" t="s">
        <v>243</v>
      </c>
      <c r="C64" s="3" t="s">
        <v>238</v>
      </c>
      <c r="D64" s="2">
        <v>30</v>
      </c>
      <c r="E64" s="4"/>
      <c r="F64" s="2">
        <v>213</v>
      </c>
      <c r="G64" s="2">
        <v>50</v>
      </c>
      <c r="H64" s="3" t="s">
        <v>45</v>
      </c>
      <c r="I64" s="3" t="s">
        <v>244</v>
      </c>
      <c r="J64" s="3" t="s">
        <v>239</v>
      </c>
      <c r="K64" s="5">
        <v>1</v>
      </c>
    </row>
    <row r="65" spans="1:11" x14ac:dyDescent="0.25">
      <c r="A65" s="3" t="s">
        <v>85</v>
      </c>
      <c r="B65" s="3" t="s">
        <v>113</v>
      </c>
      <c r="C65" s="3" t="s">
        <v>64</v>
      </c>
      <c r="D65" s="2">
        <v>30</v>
      </c>
      <c r="E65" s="4"/>
      <c r="F65" s="2">
        <v>217</v>
      </c>
      <c r="G65" s="2">
        <v>440</v>
      </c>
      <c r="H65" s="3" t="s">
        <v>45</v>
      </c>
      <c r="I65" s="3" t="s">
        <v>114</v>
      </c>
      <c r="J65" s="3" t="s">
        <v>66</v>
      </c>
      <c r="K65" s="5">
        <v>1</v>
      </c>
    </row>
    <row r="66" spans="1:11" x14ac:dyDescent="0.25">
      <c r="A66" s="3" t="s">
        <v>34</v>
      </c>
      <c r="B66" s="3" t="s">
        <v>245</v>
      </c>
      <c r="C66" s="3" t="s">
        <v>238</v>
      </c>
      <c r="D66" s="2">
        <v>30</v>
      </c>
      <c r="E66" s="4"/>
      <c r="F66" s="2">
        <v>216</v>
      </c>
      <c r="G66" s="2">
        <v>51</v>
      </c>
      <c r="H66" s="3" t="s">
        <v>45</v>
      </c>
      <c r="I66" s="3" t="s">
        <v>246</v>
      </c>
      <c r="J66" s="3" t="s">
        <v>239</v>
      </c>
      <c r="K66" s="5">
        <v>1</v>
      </c>
    </row>
    <row r="67" spans="1:11" x14ac:dyDescent="0.25">
      <c r="A67" s="3" t="s">
        <v>7</v>
      </c>
      <c r="B67" s="3" t="s">
        <v>123</v>
      </c>
      <c r="C67" s="3" t="s">
        <v>124</v>
      </c>
      <c r="D67" s="2">
        <v>30</v>
      </c>
      <c r="E67" s="4"/>
      <c r="F67" s="2">
        <v>215</v>
      </c>
      <c r="G67" s="2">
        <v>52</v>
      </c>
      <c r="H67" s="3" t="s">
        <v>45</v>
      </c>
      <c r="I67" s="3" t="s">
        <v>125</v>
      </c>
      <c r="J67" s="3" t="s">
        <v>126</v>
      </c>
      <c r="K67" s="5">
        <v>1</v>
      </c>
    </row>
    <row r="68" spans="1:11" x14ac:dyDescent="0.25">
      <c r="A68" s="3" t="s">
        <v>7</v>
      </c>
      <c r="B68" s="3" t="s">
        <v>123</v>
      </c>
      <c r="C68" s="3" t="s">
        <v>156</v>
      </c>
      <c r="D68" s="4"/>
      <c r="E68" s="2">
        <v>36</v>
      </c>
      <c r="F68" s="2">
        <v>215</v>
      </c>
      <c r="G68" s="2">
        <v>52</v>
      </c>
      <c r="H68" s="3" t="s">
        <v>45</v>
      </c>
      <c r="I68" s="3" t="s">
        <v>125</v>
      </c>
      <c r="J68" s="3" t="s">
        <v>157</v>
      </c>
      <c r="K68" s="5">
        <v>2</v>
      </c>
    </row>
    <row r="69" spans="1:11" x14ac:dyDescent="0.25">
      <c r="A69" s="3" t="s">
        <v>42</v>
      </c>
      <c r="B69" s="3" t="s">
        <v>67</v>
      </c>
      <c r="C69" s="3" t="s">
        <v>64</v>
      </c>
      <c r="D69" s="2">
        <v>30</v>
      </c>
      <c r="E69" s="2">
        <v>30</v>
      </c>
      <c r="F69" s="2">
        <v>212</v>
      </c>
      <c r="G69" s="2">
        <v>53</v>
      </c>
      <c r="H69" s="3" t="s">
        <v>45</v>
      </c>
      <c r="I69" s="3" t="s">
        <v>68</v>
      </c>
      <c r="J69" s="3" t="s">
        <v>66</v>
      </c>
      <c r="K69" s="5">
        <v>1</v>
      </c>
    </row>
    <row r="70" spans="1:11" x14ac:dyDescent="0.25">
      <c r="A70" s="3" t="s">
        <v>7</v>
      </c>
      <c r="B70" s="3" t="s">
        <v>8</v>
      </c>
      <c r="C70" s="3" t="s">
        <v>338</v>
      </c>
      <c r="D70" s="4"/>
      <c r="E70" s="2">
        <v>72</v>
      </c>
      <c r="F70" s="2">
        <v>215</v>
      </c>
      <c r="G70" s="2">
        <v>54</v>
      </c>
      <c r="H70" s="3" t="s">
        <v>339</v>
      </c>
      <c r="I70" s="3" t="s">
        <v>10</v>
      </c>
      <c r="J70" s="3" t="s">
        <v>340</v>
      </c>
      <c r="K70" s="5">
        <v>3</v>
      </c>
    </row>
    <row r="71" spans="1:11" x14ac:dyDescent="0.25">
      <c r="A71" s="3" t="s">
        <v>7</v>
      </c>
      <c r="B71" s="3" t="s">
        <v>8</v>
      </c>
      <c r="C71" s="3" t="s">
        <v>9</v>
      </c>
      <c r="D71" s="2">
        <v>90</v>
      </c>
      <c r="E71" s="4"/>
      <c r="F71" s="2">
        <v>215</v>
      </c>
      <c r="G71" s="2">
        <v>54</v>
      </c>
      <c r="H71" s="3" t="s">
        <v>5</v>
      </c>
      <c r="I71" s="3" t="s">
        <v>10</v>
      </c>
      <c r="J71" s="3" t="s">
        <v>11</v>
      </c>
      <c r="K71" s="5">
        <v>3</v>
      </c>
    </row>
    <row r="72" spans="1:11" x14ac:dyDescent="0.25">
      <c r="A72" s="3" t="s">
        <v>7</v>
      </c>
      <c r="B72" s="3" t="s">
        <v>8</v>
      </c>
      <c r="C72" s="3" t="s">
        <v>124</v>
      </c>
      <c r="D72" s="2">
        <v>30</v>
      </c>
      <c r="E72" s="4"/>
      <c r="F72" s="2">
        <v>215</v>
      </c>
      <c r="G72" s="2">
        <v>54</v>
      </c>
      <c r="H72" s="3" t="s">
        <v>45</v>
      </c>
      <c r="I72" s="3" t="s">
        <v>10</v>
      </c>
      <c r="J72" s="3" t="s">
        <v>126</v>
      </c>
      <c r="K72" s="5">
        <v>1</v>
      </c>
    </row>
    <row r="73" spans="1:11" x14ac:dyDescent="0.25">
      <c r="A73" s="3" t="s">
        <v>7</v>
      </c>
      <c r="B73" s="3" t="s">
        <v>8</v>
      </c>
      <c r="C73" s="3" t="s">
        <v>156</v>
      </c>
      <c r="D73" s="4"/>
      <c r="E73" s="2">
        <v>36</v>
      </c>
      <c r="F73" s="2">
        <v>215</v>
      </c>
      <c r="G73" s="2">
        <v>54</v>
      </c>
      <c r="H73" s="3" t="s">
        <v>45</v>
      </c>
      <c r="I73" s="3" t="s">
        <v>10</v>
      </c>
      <c r="J73" s="3" t="s">
        <v>157</v>
      </c>
      <c r="K73" s="5">
        <v>2</v>
      </c>
    </row>
    <row r="74" spans="1:11" x14ac:dyDescent="0.25">
      <c r="A74" s="3" t="s">
        <v>34</v>
      </c>
      <c r="B74" s="3" t="s">
        <v>164</v>
      </c>
      <c r="C74" s="3" t="s">
        <v>159</v>
      </c>
      <c r="D74" s="2">
        <v>30</v>
      </c>
      <c r="E74" s="2">
        <v>30</v>
      </c>
      <c r="F74" s="2">
        <v>216</v>
      </c>
      <c r="G74" s="2">
        <v>56</v>
      </c>
      <c r="H74" s="3" t="s">
        <v>45</v>
      </c>
      <c r="I74" s="3" t="s">
        <v>165</v>
      </c>
      <c r="J74" s="3" t="s">
        <v>161</v>
      </c>
      <c r="K74" s="5">
        <v>1</v>
      </c>
    </row>
    <row r="75" spans="1:11" x14ac:dyDescent="0.25">
      <c r="A75" s="3" t="s">
        <v>34</v>
      </c>
      <c r="B75" s="3" t="s">
        <v>164</v>
      </c>
      <c r="C75" s="3" t="s">
        <v>238</v>
      </c>
      <c r="D75" s="2">
        <v>30</v>
      </c>
      <c r="E75" s="2">
        <v>30</v>
      </c>
      <c r="F75" s="2">
        <v>216</v>
      </c>
      <c r="G75" s="2">
        <v>56</v>
      </c>
      <c r="H75" s="3" t="s">
        <v>45</v>
      </c>
      <c r="I75" s="3" t="s">
        <v>165</v>
      </c>
      <c r="J75" s="3" t="s">
        <v>239</v>
      </c>
      <c r="K75" s="5">
        <v>1</v>
      </c>
    </row>
    <row r="76" spans="1:11" x14ac:dyDescent="0.25">
      <c r="A76" s="3" t="s">
        <v>7</v>
      </c>
      <c r="B76" s="3" t="s">
        <v>127</v>
      </c>
      <c r="C76" s="3" t="s">
        <v>124</v>
      </c>
      <c r="D76" s="2">
        <v>30</v>
      </c>
      <c r="E76" s="4"/>
      <c r="F76" s="2">
        <v>215</v>
      </c>
      <c r="G76" s="2">
        <v>57</v>
      </c>
      <c r="H76" s="3" t="s">
        <v>45</v>
      </c>
      <c r="I76" s="3" t="s">
        <v>128</v>
      </c>
      <c r="J76" s="3" t="s">
        <v>126</v>
      </c>
      <c r="K76" s="5">
        <v>1</v>
      </c>
    </row>
    <row r="77" spans="1:11" x14ac:dyDescent="0.25">
      <c r="A77" s="3" t="s">
        <v>7</v>
      </c>
      <c r="B77" s="3" t="s">
        <v>127</v>
      </c>
      <c r="C77" s="3" t="s">
        <v>156</v>
      </c>
      <c r="D77" s="4"/>
      <c r="E77" s="2">
        <v>36</v>
      </c>
      <c r="F77" s="2">
        <v>215</v>
      </c>
      <c r="G77" s="2">
        <v>57</v>
      </c>
      <c r="H77" s="3" t="s">
        <v>45</v>
      </c>
      <c r="I77" s="3" t="s">
        <v>128</v>
      </c>
      <c r="J77" s="3" t="s">
        <v>157</v>
      </c>
      <c r="K77" s="5">
        <v>2</v>
      </c>
    </row>
    <row r="78" spans="1:11" x14ac:dyDescent="0.25">
      <c r="A78" s="3" t="s">
        <v>62</v>
      </c>
      <c r="B78" s="3" t="s">
        <v>69</v>
      </c>
      <c r="C78" s="3" t="s">
        <v>64</v>
      </c>
      <c r="D78" s="2">
        <v>30</v>
      </c>
      <c r="E78" s="2">
        <v>30</v>
      </c>
      <c r="F78" s="2">
        <v>222</v>
      </c>
      <c r="G78" s="2">
        <v>60</v>
      </c>
      <c r="H78" s="3" t="s">
        <v>45</v>
      </c>
      <c r="I78" s="3" t="s">
        <v>70</v>
      </c>
      <c r="J78" s="3" t="s">
        <v>66</v>
      </c>
      <c r="K78" s="5">
        <v>1</v>
      </c>
    </row>
    <row r="79" spans="1:11" x14ac:dyDescent="0.25">
      <c r="A79" s="3" t="s">
        <v>7</v>
      </c>
      <c r="B79" s="3" t="s">
        <v>129</v>
      </c>
      <c r="C79" s="3" t="s">
        <v>124</v>
      </c>
      <c r="D79" s="2">
        <v>30</v>
      </c>
      <c r="E79" s="4"/>
      <c r="F79" s="2">
        <v>215</v>
      </c>
      <c r="G79" s="2">
        <v>61</v>
      </c>
      <c r="H79" s="3" t="s">
        <v>45</v>
      </c>
      <c r="I79" s="3" t="s">
        <v>130</v>
      </c>
      <c r="J79" s="3" t="s">
        <v>126</v>
      </c>
      <c r="K79" s="5">
        <v>1</v>
      </c>
    </row>
    <row r="80" spans="1:11" x14ac:dyDescent="0.25">
      <c r="A80" s="3" t="s">
        <v>7</v>
      </c>
      <c r="B80" s="3" t="s">
        <v>129</v>
      </c>
      <c r="C80" s="3" t="s">
        <v>156</v>
      </c>
      <c r="D80" s="4"/>
      <c r="E80" s="2">
        <v>36</v>
      </c>
      <c r="F80" s="2">
        <v>215</v>
      </c>
      <c r="G80" s="2">
        <v>61</v>
      </c>
      <c r="H80" s="3" t="s">
        <v>45</v>
      </c>
      <c r="I80" s="3" t="s">
        <v>130</v>
      </c>
      <c r="J80" s="3" t="s">
        <v>157</v>
      </c>
      <c r="K80" s="5">
        <v>2</v>
      </c>
    </row>
    <row r="81" spans="1:11" x14ac:dyDescent="0.25">
      <c r="A81" s="3" t="s">
        <v>30</v>
      </c>
      <c r="B81" s="3" t="s">
        <v>247</v>
      </c>
      <c r="C81" s="3" t="s">
        <v>238</v>
      </c>
      <c r="D81" s="2">
        <v>30</v>
      </c>
      <c r="E81" s="2">
        <v>30</v>
      </c>
      <c r="F81" s="2">
        <v>211</v>
      </c>
      <c r="G81" s="2">
        <v>62</v>
      </c>
      <c r="H81" s="3" t="s">
        <v>45</v>
      </c>
      <c r="I81" s="3" t="s">
        <v>248</v>
      </c>
      <c r="J81" s="3" t="s">
        <v>239</v>
      </c>
      <c r="K81" s="5">
        <v>1</v>
      </c>
    </row>
    <row r="82" spans="1:11" x14ac:dyDescent="0.25">
      <c r="A82" s="3" t="s">
        <v>42</v>
      </c>
      <c r="B82" s="3" t="s">
        <v>312</v>
      </c>
      <c r="C82" s="3" t="s">
        <v>238</v>
      </c>
      <c r="D82" s="2">
        <v>30</v>
      </c>
      <c r="E82" s="2">
        <v>30</v>
      </c>
      <c r="F82" s="2">
        <v>212</v>
      </c>
      <c r="G82" s="2">
        <v>491</v>
      </c>
      <c r="H82" s="3" t="s">
        <v>45</v>
      </c>
      <c r="I82" s="3" t="s">
        <v>313</v>
      </c>
      <c r="J82" s="3" t="s">
        <v>239</v>
      </c>
      <c r="K82" s="5">
        <v>1</v>
      </c>
    </row>
    <row r="83" spans="1:11" x14ac:dyDescent="0.25">
      <c r="A83" s="3" t="s">
        <v>220</v>
      </c>
      <c r="B83" s="3" t="s">
        <v>357</v>
      </c>
      <c r="C83" s="3" t="s">
        <v>358</v>
      </c>
      <c r="D83" s="4"/>
      <c r="E83" s="2">
        <v>26</v>
      </c>
      <c r="F83" s="2">
        <v>221</v>
      </c>
      <c r="G83" s="2">
        <v>500</v>
      </c>
      <c r="H83" s="3" t="s">
        <v>45</v>
      </c>
      <c r="I83" s="3" t="s">
        <v>359</v>
      </c>
      <c r="J83" s="3" t="s">
        <v>360</v>
      </c>
      <c r="K83" s="5">
        <v>1</v>
      </c>
    </row>
    <row r="84" spans="1:11" x14ac:dyDescent="0.25">
      <c r="A84" s="3" t="s">
        <v>34</v>
      </c>
      <c r="B84" s="3" t="s">
        <v>166</v>
      </c>
      <c r="C84" s="3" t="s">
        <v>159</v>
      </c>
      <c r="D84" s="2">
        <v>30</v>
      </c>
      <c r="E84" s="2">
        <v>30</v>
      </c>
      <c r="F84" s="2">
        <v>216</v>
      </c>
      <c r="G84" s="2">
        <v>63</v>
      </c>
      <c r="H84" s="3" t="s">
        <v>45</v>
      </c>
      <c r="I84" s="3" t="s">
        <v>167</v>
      </c>
      <c r="J84" s="3" t="s">
        <v>161</v>
      </c>
      <c r="K84" s="5">
        <v>1</v>
      </c>
    </row>
    <row r="85" spans="1:11" x14ac:dyDescent="0.25">
      <c r="A85" s="3" t="s">
        <v>34</v>
      </c>
      <c r="B85" s="3" t="s">
        <v>166</v>
      </c>
      <c r="C85" s="3" t="s">
        <v>238</v>
      </c>
      <c r="D85" s="2">
        <v>30</v>
      </c>
      <c r="E85" s="2">
        <v>30</v>
      </c>
      <c r="F85" s="2">
        <v>216</v>
      </c>
      <c r="G85" s="2">
        <v>63</v>
      </c>
      <c r="H85" s="3" t="s">
        <v>45</v>
      </c>
      <c r="I85" s="3" t="s">
        <v>167</v>
      </c>
      <c r="J85" s="3" t="s">
        <v>239</v>
      </c>
      <c r="K85" s="5">
        <v>1</v>
      </c>
    </row>
    <row r="86" spans="1:11" x14ac:dyDescent="0.25">
      <c r="A86" s="3" t="s">
        <v>2</v>
      </c>
      <c r="B86" s="3" t="s">
        <v>296</v>
      </c>
      <c r="C86" s="3" t="s">
        <v>238</v>
      </c>
      <c r="D86" s="2">
        <v>30</v>
      </c>
      <c r="E86" s="4"/>
      <c r="F86" s="2">
        <v>219</v>
      </c>
      <c r="G86" s="2">
        <v>455</v>
      </c>
      <c r="H86" s="3" t="s">
        <v>45</v>
      </c>
      <c r="I86" s="3" t="s">
        <v>297</v>
      </c>
      <c r="J86" s="3" t="s">
        <v>239</v>
      </c>
      <c r="K86" s="5">
        <v>1</v>
      </c>
    </row>
    <row r="87" spans="1:11" x14ac:dyDescent="0.25">
      <c r="A87" s="3" t="s">
        <v>262</v>
      </c>
      <c r="B87" s="3" t="s">
        <v>296</v>
      </c>
      <c r="C87" s="3" t="s">
        <v>238</v>
      </c>
      <c r="D87" s="2">
        <v>30</v>
      </c>
      <c r="E87" s="4"/>
      <c r="F87" s="2">
        <v>223</v>
      </c>
      <c r="G87" s="2">
        <v>455</v>
      </c>
      <c r="H87" s="3" t="s">
        <v>45</v>
      </c>
      <c r="I87" s="3" t="s">
        <v>297</v>
      </c>
      <c r="J87" s="3" t="s">
        <v>239</v>
      </c>
      <c r="K87" s="5">
        <v>1</v>
      </c>
    </row>
    <row r="88" spans="1:11" s="60" customFormat="1" x14ac:dyDescent="0.25">
      <c r="A88" s="3" t="s">
        <v>30</v>
      </c>
      <c r="B88" s="3" t="s">
        <v>249</v>
      </c>
      <c r="C88" s="3" t="s">
        <v>238</v>
      </c>
      <c r="D88" s="2">
        <v>30</v>
      </c>
      <c r="E88" s="2">
        <v>30</v>
      </c>
      <c r="F88" s="2">
        <v>211</v>
      </c>
      <c r="G88" s="2">
        <v>65</v>
      </c>
      <c r="H88" s="3" t="s">
        <v>45</v>
      </c>
      <c r="I88" s="3" t="s">
        <v>250</v>
      </c>
      <c r="J88" s="3" t="s">
        <v>239</v>
      </c>
      <c r="K88" s="39">
        <v>1</v>
      </c>
    </row>
    <row r="89" spans="1:11" x14ac:dyDescent="0.25">
      <c r="A89" s="3" t="s">
        <v>42</v>
      </c>
      <c r="B89" s="3" t="s">
        <v>306</v>
      </c>
      <c r="C89" s="3" t="s">
        <v>238</v>
      </c>
      <c r="D89" s="2">
        <v>30</v>
      </c>
      <c r="E89" s="2">
        <v>30</v>
      </c>
      <c r="F89" s="2">
        <v>212</v>
      </c>
      <c r="G89" s="2">
        <v>472</v>
      </c>
      <c r="H89" s="3" t="s">
        <v>45</v>
      </c>
      <c r="I89" s="3" t="s">
        <v>307</v>
      </c>
      <c r="J89" s="3" t="s">
        <v>239</v>
      </c>
      <c r="K89" s="5">
        <v>1</v>
      </c>
    </row>
    <row r="90" spans="1:11" x14ac:dyDescent="0.25">
      <c r="A90" s="3" t="s">
        <v>30</v>
      </c>
      <c r="B90" s="3" t="s">
        <v>188</v>
      </c>
      <c r="C90" s="3" t="s">
        <v>189</v>
      </c>
      <c r="D90" s="4"/>
      <c r="E90" s="2">
        <v>32</v>
      </c>
      <c r="F90" s="2">
        <v>211</v>
      </c>
      <c r="G90" s="2">
        <v>66</v>
      </c>
      <c r="H90" s="3" t="s">
        <v>45</v>
      </c>
      <c r="I90" s="3" t="s">
        <v>190</v>
      </c>
      <c r="J90" s="3" t="s">
        <v>191</v>
      </c>
      <c r="K90" s="5">
        <v>1</v>
      </c>
    </row>
    <row r="91" spans="1:11" x14ac:dyDescent="0.25">
      <c r="A91" s="3" t="s">
        <v>30</v>
      </c>
      <c r="B91" s="3" t="s">
        <v>188</v>
      </c>
      <c r="C91" s="3" t="s">
        <v>238</v>
      </c>
      <c r="D91" s="2">
        <v>30</v>
      </c>
      <c r="E91" s="4"/>
      <c r="F91" s="2">
        <v>211</v>
      </c>
      <c r="G91" s="2">
        <v>66</v>
      </c>
      <c r="H91" s="3" t="s">
        <v>45</v>
      </c>
      <c r="I91" s="3" t="s">
        <v>190</v>
      </c>
      <c r="J91" s="3" t="s">
        <v>239</v>
      </c>
      <c r="K91" s="5">
        <v>1</v>
      </c>
    </row>
    <row r="92" spans="1:11" x14ac:dyDescent="0.25">
      <c r="A92" s="3" t="s">
        <v>30</v>
      </c>
      <c r="B92" s="3" t="s">
        <v>53</v>
      </c>
      <c r="C92" s="3" t="s">
        <v>54</v>
      </c>
      <c r="D92" s="4"/>
      <c r="E92" s="2">
        <v>30</v>
      </c>
      <c r="F92" s="2">
        <v>211</v>
      </c>
      <c r="G92" s="2">
        <v>67</v>
      </c>
      <c r="H92" s="3" t="s">
        <v>45</v>
      </c>
      <c r="I92" s="3" t="s">
        <v>55</v>
      </c>
      <c r="J92" s="3" t="s">
        <v>56</v>
      </c>
      <c r="K92" s="5">
        <v>1</v>
      </c>
    </row>
    <row r="93" spans="1:11" x14ac:dyDescent="0.25">
      <c r="A93" s="3" t="s">
        <v>30</v>
      </c>
      <c r="B93" s="3" t="s">
        <v>53</v>
      </c>
      <c r="C93" s="3" t="s">
        <v>238</v>
      </c>
      <c r="D93" s="2">
        <v>30</v>
      </c>
      <c r="E93" s="2">
        <v>30</v>
      </c>
      <c r="F93" s="2">
        <v>211</v>
      </c>
      <c r="G93" s="2">
        <v>67</v>
      </c>
      <c r="H93" s="3" t="s">
        <v>45</v>
      </c>
      <c r="I93" s="3" t="s">
        <v>55</v>
      </c>
      <c r="J93" s="3" t="s">
        <v>239</v>
      </c>
      <c r="K93" s="5">
        <v>1</v>
      </c>
    </row>
    <row r="94" spans="1:11" x14ac:dyDescent="0.25">
      <c r="A94" s="3" t="s">
        <v>30</v>
      </c>
      <c r="B94" s="3" t="s">
        <v>251</v>
      </c>
      <c r="C94" s="3" t="s">
        <v>238</v>
      </c>
      <c r="D94" s="2">
        <v>30</v>
      </c>
      <c r="E94" s="2">
        <v>30</v>
      </c>
      <c r="F94" s="2">
        <v>211</v>
      </c>
      <c r="G94" s="2">
        <v>68</v>
      </c>
      <c r="H94" s="3" t="s">
        <v>45</v>
      </c>
      <c r="I94" s="3" t="s">
        <v>252</v>
      </c>
      <c r="J94" s="3" t="s">
        <v>239</v>
      </c>
      <c r="K94" s="5">
        <v>1</v>
      </c>
    </row>
    <row r="95" spans="1:11" x14ac:dyDescent="0.25">
      <c r="A95" s="3" t="s">
        <v>30</v>
      </c>
      <c r="B95" s="3" t="s">
        <v>192</v>
      </c>
      <c r="C95" s="3" t="s">
        <v>193</v>
      </c>
      <c r="D95" s="4"/>
      <c r="E95" s="2">
        <v>32</v>
      </c>
      <c r="F95" s="2">
        <v>211</v>
      </c>
      <c r="G95" s="2">
        <v>70</v>
      </c>
      <c r="H95" s="3" t="s">
        <v>45</v>
      </c>
      <c r="I95" s="3" t="s">
        <v>194</v>
      </c>
      <c r="J95" s="3" t="s">
        <v>195</v>
      </c>
      <c r="K95" s="5">
        <v>1</v>
      </c>
    </row>
    <row r="96" spans="1:11" x14ac:dyDescent="0.25">
      <c r="A96" s="3" t="s">
        <v>30</v>
      </c>
      <c r="B96" s="3" t="s">
        <v>192</v>
      </c>
      <c r="C96" s="3" t="s">
        <v>238</v>
      </c>
      <c r="D96" s="2">
        <v>30</v>
      </c>
      <c r="E96" s="2">
        <v>30</v>
      </c>
      <c r="F96" s="2">
        <v>211</v>
      </c>
      <c r="G96" s="2">
        <v>70</v>
      </c>
      <c r="H96" s="3" t="s">
        <v>45</v>
      </c>
      <c r="I96" s="3" t="s">
        <v>194</v>
      </c>
      <c r="J96" s="3" t="s">
        <v>239</v>
      </c>
      <c r="K96" s="5">
        <v>1</v>
      </c>
    </row>
    <row r="97" spans="1:11" x14ac:dyDescent="0.25">
      <c r="A97" s="3" t="s">
        <v>62</v>
      </c>
      <c r="B97" s="3" t="s">
        <v>121</v>
      </c>
      <c r="C97" s="3" t="s">
        <v>64</v>
      </c>
      <c r="D97" s="2">
        <v>30</v>
      </c>
      <c r="E97" s="2">
        <v>30</v>
      </c>
      <c r="F97" s="2">
        <v>222</v>
      </c>
      <c r="G97" s="2">
        <v>539</v>
      </c>
      <c r="H97" s="3" t="s">
        <v>45</v>
      </c>
      <c r="I97" s="3" t="s">
        <v>122</v>
      </c>
      <c r="J97" s="3" t="s">
        <v>66</v>
      </c>
      <c r="K97" s="5">
        <v>1</v>
      </c>
    </row>
    <row r="98" spans="1:11" x14ac:dyDescent="0.25">
      <c r="A98" s="3" t="s">
        <v>62</v>
      </c>
      <c r="B98" s="3" t="s">
        <v>121</v>
      </c>
      <c r="C98" s="3" t="s">
        <v>144</v>
      </c>
      <c r="D98" s="4"/>
      <c r="E98" s="2">
        <v>36</v>
      </c>
      <c r="F98" s="2">
        <v>222</v>
      </c>
      <c r="G98" s="2">
        <v>539</v>
      </c>
      <c r="H98" s="3" t="s">
        <v>45</v>
      </c>
      <c r="I98" s="3" t="s">
        <v>122</v>
      </c>
      <c r="J98" s="3" t="s">
        <v>145</v>
      </c>
      <c r="K98" s="5">
        <v>2</v>
      </c>
    </row>
    <row r="99" spans="1:11" x14ac:dyDescent="0.25">
      <c r="A99" s="3" t="s">
        <v>62</v>
      </c>
      <c r="B99" s="3" t="s">
        <v>71</v>
      </c>
      <c r="C99" s="3" t="s">
        <v>64</v>
      </c>
      <c r="D99" s="2">
        <v>30</v>
      </c>
      <c r="E99" s="4"/>
      <c r="F99" s="2">
        <v>222</v>
      </c>
      <c r="G99" s="2">
        <v>73</v>
      </c>
      <c r="H99" s="3" t="s">
        <v>45</v>
      </c>
      <c r="I99" s="3" t="s">
        <v>72</v>
      </c>
      <c r="J99" s="3" t="s">
        <v>66</v>
      </c>
      <c r="K99" s="5">
        <v>1</v>
      </c>
    </row>
    <row r="100" spans="1:11" x14ac:dyDescent="0.25">
      <c r="A100" s="3" t="s">
        <v>62</v>
      </c>
      <c r="B100" s="3" t="s">
        <v>71</v>
      </c>
      <c r="C100" s="3" t="s">
        <v>238</v>
      </c>
      <c r="D100" s="2">
        <v>30</v>
      </c>
      <c r="E100" s="4"/>
      <c r="F100" s="2">
        <v>222</v>
      </c>
      <c r="G100" s="2">
        <v>73</v>
      </c>
      <c r="H100" s="3" t="s">
        <v>45</v>
      </c>
      <c r="I100" s="3" t="s">
        <v>72</v>
      </c>
      <c r="J100" s="3" t="s">
        <v>239</v>
      </c>
      <c r="K100" s="5">
        <v>1</v>
      </c>
    </row>
    <row r="101" spans="1:11" x14ac:dyDescent="0.25">
      <c r="A101" s="3" t="s">
        <v>62</v>
      </c>
      <c r="B101" s="3" t="s">
        <v>71</v>
      </c>
      <c r="C101" s="3" t="s">
        <v>335</v>
      </c>
      <c r="D101" s="4"/>
      <c r="E101" s="2">
        <v>36</v>
      </c>
      <c r="F101" s="2">
        <v>222</v>
      </c>
      <c r="G101" s="2">
        <v>73</v>
      </c>
      <c r="H101" s="3" t="s">
        <v>45</v>
      </c>
      <c r="I101" s="3" t="s">
        <v>72</v>
      </c>
      <c r="J101" s="3" t="s">
        <v>317</v>
      </c>
      <c r="K101" s="5">
        <v>2</v>
      </c>
    </row>
    <row r="102" spans="1:11" x14ac:dyDescent="0.25">
      <c r="A102" s="3" t="s">
        <v>62</v>
      </c>
      <c r="B102" s="3" t="s">
        <v>253</v>
      </c>
      <c r="C102" s="3" t="s">
        <v>238</v>
      </c>
      <c r="D102" s="2">
        <v>30</v>
      </c>
      <c r="E102" s="4"/>
      <c r="F102" s="2">
        <v>222</v>
      </c>
      <c r="G102" s="2">
        <v>74</v>
      </c>
      <c r="H102" s="3" t="s">
        <v>45</v>
      </c>
      <c r="I102" s="3" t="s">
        <v>254</v>
      </c>
      <c r="J102" s="3" t="s">
        <v>239</v>
      </c>
      <c r="K102" s="5">
        <v>1</v>
      </c>
    </row>
    <row r="103" spans="1:11" x14ac:dyDescent="0.25">
      <c r="A103" s="3" t="s">
        <v>62</v>
      </c>
      <c r="B103" s="3" t="s">
        <v>253</v>
      </c>
      <c r="C103" s="3" t="s">
        <v>335</v>
      </c>
      <c r="D103" s="4"/>
      <c r="E103" s="2">
        <v>36</v>
      </c>
      <c r="F103" s="2">
        <v>222</v>
      </c>
      <c r="G103" s="2">
        <v>74</v>
      </c>
      <c r="H103" s="3" t="s">
        <v>45</v>
      </c>
      <c r="I103" s="3" t="s">
        <v>254</v>
      </c>
      <c r="J103" s="3" t="s">
        <v>317</v>
      </c>
      <c r="K103" s="5">
        <v>2</v>
      </c>
    </row>
    <row r="104" spans="1:11" x14ac:dyDescent="0.25">
      <c r="A104" s="3" t="s">
        <v>62</v>
      </c>
      <c r="B104" s="3" t="s">
        <v>73</v>
      </c>
      <c r="C104" s="3" t="s">
        <v>64</v>
      </c>
      <c r="D104" s="2">
        <v>30</v>
      </c>
      <c r="E104" s="2">
        <v>30</v>
      </c>
      <c r="F104" s="2">
        <v>222</v>
      </c>
      <c r="G104" s="2">
        <v>75</v>
      </c>
      <c r="H104" s="3" t="s">
        <v>45</v>
      </c>
      <c r="I104" s="3" t="s">
        <v>74</v>
      </c>
      <c r="J104" s="3" t="s">
        <v>66</v>
      </c>
      <c r="K104" s="5">
        <v>1</v>
      </c>
    </row>
    <row r="105" spans="1:11" x14ac:dyDescent="0.25">
      <c r="A105" s="3" t="s">
        <v>2</v>
      </c>
      <c r="B105" s="3" t="s">
        <v>196</v>
      </c>
      <c r="C105" s="3" t="s">
        <v>197</v>
      </c>
      <c r="D105" s="4"/>
      <c r="E105" s="2">
        <v>61</v>
      </c>
      <c r="F105" s="2">
        <v>219</v>
      </c>
      <c r="G105" s="2">
        <v>76</v>
      </c>
      <c r="H105" s="3" t="s">
        <v>45</v>
      </c>
      <c r="I105" s="3" t="s">
        <v>198</v>
      </c>
      <c r="J105" s="3" t="s">
        <v>199</v>
      </c>
      <c r="K105" s="5">
        <v>2</v>
      </c>
    </row>
    <row r="106" spans="1:11" x14ac:dyDescent="0.25">
      <c r="A106" s="3" t="s">
        <v>255</v>
      </c>
      <c r="B106" s="3" t="s">
        <v>256</v>
      </c>
      <c r="C106" s="3" t="s">
        <v>238</v>
      </c>
      <c r="D106" s="2">
        <v>30</v>
      </c>
      <c r="E106" s="2">
        <v>30</v>
      </c>
      <c r="F106" s="2">
        <v>218</v>
      </c>
      <c r="G106" s="2">
        <v>78</v>
      </c>
      <c r="H106" s="3" t="s">
        <v>45</v>
      </c>
      <c r="I106" s="3" t="s">
        <v>257</v>
      </c>
      <c r="J106" s="3" t="s">
        <v>239</v>
      </c>
      <c r="K106" s="5">
        <v>1</v>
      </c>
    </row>
    <row r="107" spans="1:11" x14ac:dyDescent="0.25">
      <c r="A107" s="3" t="s">
        <v>7</v>
      </c>
      <c r="B107" s="3" t="s">
        <v>12</v>
      </c>
      <c r="C107" s="3" t="s">
        <v>338</v>
      </c>
      <c r="D107" s="4"/>
      <c r="E107" s="2">
        <v>72</v>
      </c>
      <c r="F107" s="2">
        <v>215</v>
      </c>
      <c r="G107" s="2">
        <v>80</v>
      </c>
      <c r="H107" s="3" t="s">
        <v>339</v>
      </c>
      <c r="I107" s="3" t="s">
        <v>13</v>
      </c>
      <c r="J107" s="3" t="s">
        <v>340</v>
      </c>
      <c r="K107" s="5">
        <v>3</v>
      </c>
    </row>
    <row r="108" spans="1:11" x14ac:dyDescent="0.25">
      <c r="A108" s="3" t="s">
        <v>7</v>
      </c>
      <c r="B108" s="3" t="s">
        <v>12</v>
      </c>
      <c r="C108" s="3" t="s">
        <v>9</v>
      </c>
      <c r="D108" s="2">
        <v>90</v>
      </c>
      <c r="E108" s="4"/>
      <c r="F108" s="2">
        <v>215</v>
      </c>
      <c r="G108" s="2">
        <v>80</v>
      </c>
      <c r="H108" s="3" t="s">
        <v>5</v>
      </c>
      <c r="I108" s="3" t="s">
        <v>13</v>
      </c>
      <c r="J108" s="3" t="s">
        <v>11</v>
      </c>
      <c r="K108" s="5">
        <v>3</v>
      </c>
    </row>
    <row r="109" spans="1:11" x14ac:dyDescent="0.25">
      <c r="A109" s="3" t="s">
        <v>57</v>
      </c>
      <c r="B109" s="3" t="s">
        <v>361</v>
      </c>
      <c r="C109" s="3" t="s">
        <v>362</v>
      </c>
      <c r="D109" s="2">
        <v>42</v>
      </c>
      <c r="E109" s="4"/>
      <c r="F109" s="2">
        <v>214</v>
      </c>
      <c r="G109" s="2">
        <v>507</v>
      </c>
      <c r="H109" s="3" t="s">
        <v>45</v>
      </c>
      <c r="I109" s="3" t="s">
        <v>363</v>
      </c>
      <c r="J109" s="3" t="s">
        <v>364</v>
      </c>
      <c r="K109" s="5">
        <v>2</v>
      </c>
    </row>
    <row r="110" spans="1:11" x14ac:dyDescent="0.25">
      <c r="A110" s="3" t="s">
        <v>62</v>
      </c>
      <c r="B110" s="3" t="s">
        <v>75</v>
      </c>
      <c r="C110" s="3" t="s">
        <v>64</v>
      </c>
      <c r="D110" s="2">
        <v>30</v>
      </c>
      <c r="E110" s="2">
        <v>30</v>
      </c>
      <c r="F110" s="2">
        <v>222</v>
      </c>
      <c r="G110" s="2">
        <v>81</v>
      </c>
      <c r="H110" s="3" t="s">
        <v>45</v>
      </c>
      <c r="I110" s="3" t="s">
        <v>76</v>
      </c>
      <c r="J110" s="3" t="s">
        <v>66</v>
      </c>
      <c r="K110" s="5">
        <v>1</v>
      </c>
    </row>
    <row r="111" spans="1:11" x14ac:dyDescent="0.25">
      <c r="A111" s="3" t="s">
        <v>30</v>
      </c>
      <c r="B111" s="3" t="s">
        <v>258</v>
      </c>
      <c r="C111" s="3" t="s">
        <v>238</v>
      </c>
      <c r="D111" s="2">
        <v>30</v>
      </c>
      <c r="E111" s="2">
        <v>30</v>
      </c>
      <c r="F111" s="2">
        <v>211</v>
      </c>
      <c r="G111" s="2">
        <v>82</v>
      </c>
      <c r="H111" s="3" t="s">
        <v>45</v>
      </c>
      <c r="I111" s="3" t="s">
        <v>259</v>
      </c>
      <c r="J111" s="3" t="s">
        <v>239</v>
      </c>
      <c r="K111" s="5">
        <v>1</v>
      </c>
    </row>
    <row r="112" spans="1:11" x14ac:dyDescent="0.25">
      <c r="A112" s="3" t="s">
        <v>34</v>
      </c>
      <c r="B112" s="3" t="s">
        <v>35</v>
      </c>
      <c r="C112" s="3" t="s">
        <v>159</v>
      </c>
      <c r="D112" s="2">
        <v>30</v>
      </c>
      <c r="E112" s="2">
        <v>30</v>
      </c>
      <c r="F112" s="2">
        <v>216</v>
      </c>
      <c r="G112" s="2">
        <v>83</v>
      </c>
      <c r="H112" s="3" t="s">
        <v>45</v>
      </c>
      <c r="I112" s="3" t="s">
        <v>38</v>
      </c>
      <c r="J112" s="3" t="s">
        <v>161</v>
      </c>
      <c r="K112" s="5">
        <v>1</v>
      </c>
    </row>
    <row r="113" spans="1:11" x14ac:dyDescent="0.25">
      <c r="A113" s="3" t="s">
        <v>34</v>
      </c>
      <c r="B113" s="3" t="s">
        <v>35</v>
      </c>
      <c r="C113" s="3" t="s">
        <v>36</v>
      </c>
      <c r="D113" s="2">
        <v>30</v>
      </c>
      <c r="E113" s="2">
        <v>30</v>
      </c>
      <c r="F113" s="2">
        <v>216</v>
      </c>
      <c r="G113" s="2">
        <v>83</v>
      </c>
      <c r="H113" s="3" t="s">
        <v>37</v>
      </c>
      <c r="I113" s="3" t="s">
        <v>38</v>
      </c>
      <c r="J113" s="3" t="s">
        <v>39</v>
      </c>
      <c r="K113" s="5">
        <v>1</v>
      </c>
    </row>
    <row r="114" spans="1:11" x14ac:dyDescent="0.25">
      <c r="A114" s="3" t="s">
        <v>34</v>
      </c>
      <c r="B114" s="3" t="s">
        <v>35</v>
      </c>
      <c r="C114" s="3" t="s">
        <v>238</v>
      </c>
      <c r="D114" s="2">
        <v>30</v>
      </c>
      <c r="E114" s="2">
        <v>30</v>
      </c>
      <c r="F114" s="2">
        <v>216</v>
      </c>
      <c r="G114" s="2">
        <v>83</v>
      </c>
      <c r="H114" s="3" t="s">
        <v>45</v>
      </c>
      <c r="I114" s="3" t="s">
        <v>38</v>
      </c>
      <c r="J114" s="3" t="s">
        <v>239</v>
      </c>
      <c r="K114" s="5">
        <v>1</v>
      </c>
    </row>
    <row r="115" spans="1:11" x14ac:dyDescent="0.25">
      <c r="A115" s="3" t="s">
        <v>42</v>
      </c>
      <c r="B115" s="3" t="s">
        <v>316</v>
      </c>
      <c r="C115" s="3" t="s">
        <v>238</v>
      </c>
      <c r="D115" s="2">
        <v>30</v>
      </c>
      <c r="E115" s="2">
        <v>30</v>
      </c>
      <c r="F115" s="2">
        <v>212</v>
      </c>
      <c r="G115" s="2">
        <v>503</v>
      </c>
      <c r="H115" s="3" t="s">
        <v>45</v>
      </c>
      <c r="I115" s="3" t="s">
        <v>317</v>
      </c>
      <c r="J115" s="3" t="s">
        <v>239</v>
      </c>
      <c r="K115" s="5">
        <v>1</v>
      </c>
    </row>
    <row r="116" spans="1:11" x14ac:dyDescent="0.25">
      <c r="A116" s="3" t="s">
        <v>30</v>
      </c>
      <c r="B116" s="3" t="s">
        <v>260</v>
      </c>
      <c r="C116" s="3" t="s">
        <v>238</v>
      </c>
      <c r="D116" s="2">
        <v>30</v>
      </c>
      <c r="E116" s="2">
        <v>30</v>
      </c>
      <c r="F116" s="2">
        <v>211</v>
      </c>
      <c r="G116" s="2">
        <v>84</v>
      </c>
      <c r="H116" s="3" t="s">
        <v>45</v>
      </c>
      <c r="I116" s="3" t="s">
        <v>261</v>
      </c>
      <c r="J116" s="3" t="s">
        <v>239</v>
      </c>
      <c r="K116" s="5">
        <v>1</v>
      </c>
    </row>
    <row r="117" spans="1:11" x14ac:dyDescent="0.25">
      <c r="A117" s="3" t="s">
        <v>57</v>
      </c>
      <c r="B117" s="3" t="s">
        <v>206</v>
      </c>
      <c r="C117" s="3" t="s">
        <v>207</v>
      </c>
      <c r="D117" s="2">
        <v>36</v>
      </c>
      <c r="E117" s="4"/>
      <c r="F117" s="2">
        <v>214</v>
      </c>
      <c r="G117" s="2">
        <v>85</v>
      </c>
      <c r="H117" s="3" t="s">
        <v>45</v>
      </c>
      <c r="I117" s="3" t="s">
        <v>208</v>
      </c>
      <c r="J117" s="3" t="s">
        <v>209</v>
      </c>
      <c r="K117" s="5">
        <v>2</v>
      </c>
    </row>
    <row r="118" spans="1:11" x14ac:dyDescent="0.25">
      <c r="A118" s="3" t="s">
        <v>42</v>
      </c>
      <c r="B118" s="3" t="s">
        <v>117</v>
      </c>
      <c r="C118" s="3" t="s">
        <v>64</v>
      </c>
      <c r="D118" s="2">
        <v>30</v>
      </c>
      <c r="E118" s="2">
        <v>30</v>
      </c>
      <c r="F118" s="2">
        <v>212</v>
      </c>
      <c r="G118" s="2">
        <v>485</v>
      </c>
      <c r="H118" s="3" t="s">
        <v>45</v>
      </c>
      <c r="I118" s="3" t="s">
        <v>118</v>
      </c>
      <c r="J118" s="3" t="s">
        <v>66</v>
      </c>
      <c r="K118" s="5">
        <v>1</v>
      </c>
    </row>
    <row r="119" spans="1:11" x14ac:dyDescent="0.25">
      <c r="A119" s="3" t="s">
        <v>57</v>
      </c>
      <c r="B119" s="3" t="s">
        <v>210</v>
      </c>
      <c r="C119" s="3" t="s">
        <v>211</v>
      </c>
      <c r="D119" s="4"/>
      <c r="E119" s="2">
        <v>33</v>
      </c>
      <c r="F119" s="2">
        <v>214</v>
      </c>
      <c r="G119" s="2">
        <v>86</v>
      </c>
      <c r="H119" s="3" t="s">
        <v>45</v>
      </c>
      <c r="I119" s="3" t="s">
        <v>212</v>
      </c>
      <c r="J119" s="3" t="s">
        <v>213</v>
      </c>
      <c r="K119" s="5">
        <v>1</v>
      </c>
    </row>
    <row r="120" spans="1:11" x14ac:dyDescent="0.25">
      <c r="A120" s="3" t="s">
        <v>220</v>
      </c>
      <c r="B120" s="3" t="s">
        <v>353</v>
      </c>
      <c r="C120" s="3" t="s">
        <v>354</v>
      </c>
      <c r="D120" s="4"/>
      <c r="E120" s="2">
        <v>26</v>
      </c>
      <c r="F120" s="2">
        <v>221</v>
      </c>
      <c r="G120" s="2">
        <v>464</v>
      </c>
      <c r="H120" s="3" t="s">
        <v>45</v>
      </c>
      <c r="I120" s="3" t="s">
        <v>355</v>
      </c>
      <c r="J120" s="3" t="s">
        <v>356</v>
      </c>
      <c r="K120" s="5">
        <v>1</v>
      </c>
    </row>
    <row r="121" spans="1:11" x14ac:dyDescent="0.25">
      <c r="A121" s="3" t="s">
        <v>57</v>
      </c>
      <c r="B121" s="3" t="s">
        <v>214</v>
      </c>
      <c r="C121" s="3" t="s">
        <v>215</v>
      </c>
      <c r="D121" s="2">
        <v>52</v>
      </c>
      <c r="E121" s="4"/>
      <c r="F121" s="2">
        <v>214</v>
      </c>
      <c r="G121" s="2">
        <v>87</v>
      </c>
      <c r="H121" s="3" t="s">
        <v>45</v>
      </c>
      <c r="I121" s="3" t="s">
        <v>216</v>
      </c>
      <c r="J121" s="3" t="s">
        <v>217</v>
      </c>
      <c r="K121" s="5">
        <v>2</v>
      </c>
    </row>
    <row r="122" spans="1:11" x14ac:dyDescent="0.25">
      <c r="A122" s="3" t="s">
        <v>62</v>
      </c>
      <c r="B122" s="3" t="s">
        <v>77</v>
      </c>
      <c r="C122" s="3" t="s">
        <v>64</v>
      </c>
      <c r="D122" s="2">
        <v>30</v>
      </c>
      <c r="E122" s="4"/>
      <c r="F122" s="2">
        <v>222</v>
      </c>
      <c r="G122" s="2">
        <v>88</v>
      </c>
      <c r="H122" s="3" t="s">
        <v>45</v>
      </c>
      <c r="I122" s="3" t="s">
        <v>78</v>
      </c>
      <c r="J122" s="3" t="s">
        <v>66</v>
      </c>
      <c r="K122" s="5">
        <v>1</v>
      </c>
    </row>
    <row r="123" spans="1:11" x14ac:dyDescent="0.25">
      <c r="A123" s="3" t="s">
        <v>62</v>
      </c>
      <c r="B123" s="3" t="s">
        <v>77</v>
      </c>
      <c r="C123" s="3" t="s">
        <v>144</v>
      </c>
      <c r="D123" s="4"/>
      <c r="E123" s="2">
        <v>36</v>
      </c>
      <c r="F123" s="2">
        <v>222</v>
      </c>
      <c r="G123" s="2">
        <v>88</v>
      </c>
      <c r="H123" s="3" t="s">
        <v>45</v>
      </c>
      <c r="I123" s="3" t="s">
        <v>78</v>
      </c>
      <c r="J123" s="3" t="s">
        <v>145</v>
      </c>
      <c r="K123" s="5">
        <v>2</v>
      </c>
    </row>
    <row r="124" spans="1:11" x14ac:dyDescent="0.25">
      <c r="A124" s="3" t="s">
        <v>62</v>
      </c>
      <c r="B124" s="3" t="s">
        <v>77</v>
      </c>
      <c r="C124" s="3" t="s">
        <v>218</v>
      </c>
      <c r="D124" s="4"/>
      <c r="E124" s="2">
        <v>30</v>
      </c>
      <c r="F124" s="2">
        <v>222</v>
      </c>
      <c r="G124" s="2">
        <v>88</v>
      </c>
      <c r="H124" s="3" t="s">
        <v>45</v>
      </c>
      <c r="I124" s="3" t="s">
        <v>78</v>
      </c>
      <c r="J124" s="3" t="s">
        <v>219</v>
      </c>
      <c r="K124" s="5">
        <v>1</v>
      </c>
    </row>
    <row r="125" spans="1:11" x14ac:dyDescent="0.25">
      <c r="A125" s="3" t="s">
        <v>62</v>
      </c>
      <c r="B125" s="3" t="s">
        <v>79</v>
      </c>
      <c r="C125" s="3" t="s">
        <v>64</v>
      </c>
      <c r="D125" s="2">
        <v>30</v>
      </c>
      <c r="E125" s="4"/>
      <c r="F125" s="2">
        <v>222</v>
      </c>
      <c r="G125" s="2">
        <v>89</v>
      </c>
      <c r="H125" s="3" t="s">
        <v>45</v>
      </c>
      <c r="I125" s="3" t="s">
        <v>80</v>
      </c>
      <c r="J125" s="3" t="s">
        <v>66</v>
      </c>
      <c r="K125" s="5">
        <v>1</v>
      </c>
    </row>
    <row r="126" spans="1:11" x14ac:dyDescent="0.25">
      <c r="A126" s="3" t="s">
        <v>62</v>
      </c>
      <c r="B126" s="3" t="s">
        <v>79</v>
      </c>
      <c r="C126" s="3" t="s">
        <v>144</v>
      </c>
      <c r="D126" s="4"/>
      <c r="E126" s="2">
        <v>36</v>
      </c>
      <c r="F126" s="2">
        <v>222</v>
      </c>
      <c r="G126" s="2">
        <v>89</v>
      </c>
      <c r="H126" s="3" t="s">
        <v>45</v>
      </c>
      <c r="I126" s="3" t="s">
        <v>80</v>
      </c>
      <c r="J126" s="3" t="s">
        <v>145</v>
      </c>
      <c r="K126" s="5">
        <v>2</v>
      </c>
    </row>
    <row r="127" spans="1:11" x14ac:dyDescent="0.25">
      <c r="A127" s="3" t="s">
        <v>62</v>
      </c>
      <c r="B127" s="3" t="s">
        <v>81</v>
      </c>
      <c r="C127" s="3" t="s">
        <v>64</v>
      </c>
      <c r="D127" s="2">
        <v>30</v>
      </c>
      <c r="E127" s="2">
        <v>30</v>
      </c>
      <c r="F127" s="2">
        <v>222</v>
      </c>
      <c r="G127" s="2">
        <v>90</v>
      </c>
      <c r="H127" s="3" t="s">
        <v>45</v>
      </c>
      <c r="I127" s="3" t="s">
        <v>82</v>
      </c>
      <c r="J127" s="3" t="s">
        <v>66</v>
      </c>
      <c r="K127" s="5">
        <v>1</v>
      </c>
    </row>
    <row r="128" spans="1:11" x14ac:dyDescent="0.25">
      <c r="A128" s="3" t="s">
        <v>42</v>
      </c>
      <c r="B128" s="3" t="s">
        <v>300</v>
      </c>
      <c r="C128" s="3" t="s">
        <v>238</v>
      </c>
      <c r="D128" s="2">
        <v>30</v>
      </c>
      <c r="E128" s="2">
        <v>30</v>
      </c>
      <c r="F128" s="2">
        <v>212</v>
      </c>
      <c r="G128" s="2">
        <v>460</v>
      </c>
      <c r="H128" s="3" t="s">
        <v>45</v>
      </c>
      <c r="I128" s="3" t="s">
        <v>301</v>
      </c>
      <c r="J128" s="3" t="s">
        <v>239</v>
      </c>
      <c r="K128" s="5">
        <v>1</v>
      </c>
    </row>
    <row r="129" spans="1:11" x14ac:dyDescent="0.25">
      <c r="A129" s="3" t="s">
        <v>7</v>
      </c>
      <c r="B129" s="3" t="s">
        <v>14</v>
      </c>
      <c r="C129" s="3" t="s">
        <v>338</v>
      </c>
      <c r="D129" s="4"/>
      <c r="E129" s="2">
        <v>72</v>
      </c>
      <c r="F129" s="2">
        <v>215</v>
      </c>
      <c r="G129" s="2">
        <v>91</v>
      </c>
      <c r="H129" s="3" t="s">
        <v>339</v>
      </c>
      <c r="I129" s="3" t="s">
        <v>15</v>
      </c>
      <c r="J129" s="3" t="s">
        <v>340</v>
      </c>
      <c r="K129" s="5">
        <v>3</v>
      </c>
    </row>
    <row r="130" spans="1:11" x14ac:dyDescent="0.25">
      <c r="A130" s="3" t="s">
        <v>7</v>
      </c>
      <c r="B130" s="3" t="s">
        <v>14</v>
      </c>
      <c r="C130" s="3" t="s">
        <v>9</v>
      </c>
      <c r="D130" s="2">
        <v>90</v>
      </c>
      <c r="E130" s="4"/>
      <c r="F130" s="2">
        <v>215</v>
      </c>
      <c r="G130" s="2">
        <v>91</v>
      </c>
      <c r="H130" s="3" t="s">
        <v>5</v>
      </c>
      <c r="I130" s="3" t="s">
        <v>15</v>
      </c>
      <c r="J130" s="3" t="s">
        <v>11</v>
      </c>
      <c r="K130" s="5">
        <v>3</v>
      </c>
    </row>
    <row r="131" spans="1:11" x14ac:dyDescent="0.25">
      <c r="A131" s="3" t="s">
        <v>7</v>
      </c>
      <c r="B131" s="3" t="s">
        <v>14</v>
      </c>
      <c r="C131" s="3" t="s">
        <v>124</v>
      </c>
      <c r="D131" s="2">
        <v>30</v>
      </c>
      <c r="E131" s="4"/>
      <c r="F131" s="2">
        <v>215</v>
      </c>
      <c r="G131" s="2">
        <v>91</v>
      </c>
      <c r="H131" s="3" t="s">
        <v>45</v>
      </c>
      <c r="I131" s="3" t="s">
        <v>15</v>
      </c>
      <c r="J131" s="3" t="s">
        <v>126</v>
      </c>
      <c r="K131" s="5">
        <v>1</v>
      </c>
    </row>
    <row r="132" spans="1:11" x14ac:dyDescent="0.25">
      <c r="A132" s="3" t="s">
        <v>7</v>
      </c>
      <c r="B132" s="3" t="s">
        <v>14</v>
      </c>
      <c r="C132" s="3" t="s">
        <v>156</v>
      </c>
      <c r="D132" s="4"/>
      <c r="E132" s="2">
        <v>36</v>
      </c>
      <c r="F132" s="2">
        <v>215</v>
      </c>
      <c r="G132" s="2">
        <v>91</v>
      </c>
      <c r="H132" s="3" t="s">
        <v>45</v>
      </c>
      <c r="I132" s="3" t="s">
        <v>15</v>
      </c>
      <c r="J132" s="3" t="s">
        <v>157</v>
      </c>
      <c r="K132" s="5">
        <v>2</v>
      </c>
    </row>
    <row r="133" spans="1:11" x14ac:dyDescent="0.25">
      <c r="A133" s="3" t="s">
        <v>48</v>
      </c>
      <c r="B133" s="3" t="s">
        <v>140</v>
      </c>
      <c r="C133" s="3" t="s">
        <v>141</v>
      </c>
      <c r="D133" s="2">
        <v>30</v>
      </c>
      <c r="E133" s="2">
        <v>30</v>
      </c>
      <c r="F133" s="2">
        <v>220</v>
      </c>
      <c r="G133" s="2">
        <v>92</v>
      </c>
      <c r="H133" s="3" t="s">
        <v>45</v>
      </c>
      <c r="I133" s="3" t="s">
        <v>142</v>
      </c>
      <c r="J133" s="3" t="s">
        <v>143</v>
      </c>
      <c r="K133" s="5">
        <v>1</v>
      </c>
    </row>
    <row r="134" spans="1:11" x14ac:dyDescent="0.25">
      <c r="A134" s="3" t="s">
        <v>34</v>
      </c>
      <c r="B134" s="3" t="s">
        <v>168</v>
      </c>
      <c r="C134" s="3" t="s">
        <v>159</v>
      </c>
      <c r="D134" s="2">
        <v>30</v>
      </c>
      <c r="E134" s="2">
        <v>30</v>
      </c>
      <c r="F134" s="2">
        <v>216</v>
      </c>
      <c r="G134" s="2">
        <v>93</v>
      </c>
      <c r="H134" s="3" t="s">
        <v>45</v>
      </c>
      <c r="I134" s="3" t="s">
        <v>169</v>
      </c>
      <c r="J134" s="3" t="s">
        <v>161</v>
      </c>
      <c r="K134" s="5">
        <v>1</v>
      </c>
    </row>
    <row r="135" spans="1:11" x14ac:dyDescent="0.25">
      <c r="A135" s="3" t="s">
        <v>34</v>
      </c>
      <c r="B135" s="3" t="s">
        <v>168</v>
      </c>
      <c r="C135" s="3" t="s">
        <v>238</v>
      </c>
      <c r="D135" s="2">
        <v>30</v>
      </c>
      <c r="E135" s="2">
        <v>30</v>
      </c>
      <c r="F135" s="2">
        <v>216</v>
      </c>
      <c r="G135" s="2">
        <v>93</v>
      </c>
      <c r="H135" s="3" t="s">
        <v>45</v>
      </c>
      <c r="I135" s="3" t="s">
        <v>169</v>
      </c>
      <c r="J135" s="3" t="s">
        <v>239</v>
      </c>
      <c r="K135" s="5">
        <v>1</v>
      </c>
    </row>
    <row r="136" spans="1:11" x14ac:dyDescent="0.25">
      <c r="A136" s="3" t="s">
        <v>62</v>
      </c>
      <c r="B136" s="3" t="s">
        <v>83</v>
      </c>
      <c r="C136" s="3" t="s">
        <v>64</v>
      </c>
      <c r="D136" s="2">
        <v>30</v>
      </c>
      <c r="E136" s="2">
        <v>30</v>
      </c>
      <c r="F136" s="2">
        <v>222</v>
      </c>
      <c r="G136" s="2">
        <v>94</v>
      </c>
      <c r="H136" s="3" t="s">
        <v>45</v>
      </c>
      <c r="I136" s="3" t="s">
        <v>84</v>
      </c>
      <c r="J136" s="3" t="s">
        <v>66</v>
      </c>
      <c r="K136" s="5">
        <v>1</v>
      </c>
    </row>
    <row r="137" spans="1:11" x14ac:dyDescent="0.25">
      <c r="A137" s="3" t="s">
        <v>62</v>
      </c>
      <c r="B137" s="3" t="s">
        <v>83</v>
      </c>
      <c r="C137" s="3" t="s">
        <v>144</v>
      </c>
      <c r="D137" s="4"/>
      <c r="E137" s="2">
        <v>36</v>
      </c>
      <c r="F137" s="2">
        <v>222</v>
      </c>
      <c r="G137" s="2">
        <v>94</v>
      </c>
      <c r="H137" s="3" t="s">
        <v>45</v>
      </c>
      <c r="I137" s="3" t="s">
        <v>84</v>
      </c>
      <c r="J137" s="3" t="s">
        <v>145</v>
      </c>
      <c r="K137" s="5">
        <v>2</v>
      </c>
    </row>
    <row r="138" spans="1:11" x14ac:dyDescent="0.25">
      <c r="A138" s="3" t="s">
        <v>62</v>
      </c>
      <c r="B138" s="3" t="s">
        <v>83</v>
      </c>
      <c r="C138" s="3" t="s">
        <v>238</v>
      </c>
      <c r="D138" s="2">
        <v>30</v>
      </c>
      <c r="E138" s="2">
        <v>30</v>
      </c>
      <c r="F138" s="2">
        <v>222</v>
      </c>
      <c r="G138" s="2">
        <v>94</v>
      </c>
      <c r="H138" s="3" t="s">
        <v>45</v>
      </c>
      <c r="I138" s="3" t="s">
        <v>84</v>
      </c>
      <c r="J138" s="3" t="s">
        <v>239</v>
      </c>
      <c r="K138" s="5">
        <v>1</v>
      </c>
    </row>
    <row r="139" spans="1:11" x14ac:dyDescent="0.25">
      <c r="A139" s="3" t="s">
        <v>62</v>
      </c>
      <c r="B139" s="3" t="s">
        <v>83</v>
      </c>
      <c r="C139" s="3" t="s">
        <v>335</v>
      </c>
      <c r="D139" s="4"/>
      <c r="E139" s="2">
        <v>36</v>
      </c>
      <c r="F139" s="2">
        <v>222</v>
      </c>
      <c r="G139" s="2">
        <v>94</v>
      </c>
      <c r="H139" s="3" t="s">
        <v>45</v>
      </c>
      <c r="I139" s="3" t="s">
        <v>84</v>
      </c>
      <c r="J139" s="3" t="s">
        <v>317</v>
      </c>
      <c r="K139" s="5">
        <v>2</v>
      </c>
    </row>
    <row r="140" spans="1:11" x14ac:dyDescent="0.25">
      <c r="A140" s="3" t="s">
        <v>7</v>
      </c>
      <c r="B140" s="3" t="s">
        <v>131</v>
      </c>
      <c r="C140" s="3" t="s">
        <v>124</v>
      </c>
      <c r="D140" s="2">
        <v>30</v>
      </c>
      <c r="E140" s="4"/>
      <c r="F140" s="2">
        <v>215</v>
      </c>
      <c r="G140" s="2">
        <v>95</v>
      </c>
      <c r="H140" s="3" t="s">
        <v>45</v>
      </c>
      <c r="I140" s="3" t="s">
        <v>126</v>
      </c>
      <c r="J140" s="3" t="s">
        <v>126</v>
      </c>
      <c r="K140" s="5">
        <v>1</v>
      </c>
    </row>
    <row r="141" spans="1:11" x14ac:dyDescent="0.25">
      <c r="A141" s="3" t="s">
        <v>7</v>
      </c>
      <c r="B141" s="3" t="s">
        <v>131</v>
      </c>
      <c r="C141" s="3" t="s">
        <v>156</v>
      </c>
      <c r="D141" s="4"/>
      <c r="E141" s="2">
        <v>36</v>
      </c>
      <c r="F141" s="2">
        <v>215</v>
      </c>
      <c r="G141" s="2">
        <v>95</v>
      </c>
      <c r="H141" s="3" t="s">
        <v>45</v>
      </c>
      <c r="I141" s="3" t="s">
        <v>126</v>
      </c>
      <c r="J141" s="3" t="s">
        <v>157</v>
      </c>
      <c r="K141" s="5">
        <v>2</v>
      </c>
    </row>
    <row r="142" spans="1:11" x14ac:dyDescent="0.25">
      <c r="A142" s="3" t="s">
        <v>34</v>
      </c>
      <c r="B142" s="3" t="s">
        <v>170</v>
      </c>
      <c r="C142" s="3" t="s">
        <v>159</v>
      </c>
      <c r="D142" s="2">
        <v>30</v>
      </c>
      <c r="E142" s="2">
        <v>30</v>
      </c>
      <c r="F142" s="2">
        <v>216</v>
      </c>
      <c r="G142" s="2">
        <v>96</v>
      </c>
      <c r="H142" s="3" t="s">
        <v>45</v>
      </c>
      <c r="I142" s="3" t="s">
        <v>171</v>
      </c>
      <c r="J142" s="3" t="s">
        <v>161</v>
      </c>
      <c r="K142" s="5">
        <v>1</v>
      </c>
    </row>
    <row r="143" spans="1:11" x14ac:dyDescent="0.25">
      <c r="A143" s="3" t="s">
        <v>34</v>
      </c>
      <c r="B143" s="3" t="s">
        <v>170</v>
      </c>
      <c r="C143" s="3" t="s">
        <v>238</v>
      </c>
      <c r="D143" s="2">
        <v>30</v>
      </c>
      <c r="E143" s="2">
        <v>30</v>
      </c>
      <c r="F143" s="2">
        <v>216</v>
      </c>
      <c r="G143" s="2">
        <v>96</v>
      </c>
      <c r="H143" s="3" t="s">
        <v>45</v>
      </c>
      <c r="I143" s="3" t="s">
        <v>171</v>
      </c>
      <c r="J143" s="3" t="s">
        <v>239</v>
      </c>
      <c r="K143" s="5">
        <v>1</v>
      </c>
    </row>
    <row r="144" spans="1:11" x14ac:dyDescent="0.25">
      <c r="A144" s="3" t="s">
        <v>262</v>
      </c>
      <c r="B144" s="3" t="s">
        <v>263</v>
      </c>
      <c r="C144" s="3" t="s">
        <v>238</v>
      </c>
      <c r="D144" s="2">
        <v>30</v>
      </c>
      <c r="E144" s="4"/>
      <c r="F144" s="2">
        <v>223</v>
      </c>
      <c r="G144" s="2">
        <v>97</v>
      </c>
      <c r="H144" s="3" t="s">
        <v>45</v>
      </c>
      <c r="I144" s="3" t="s">
        <v>264</v>
      </c>
      <c r="J144" s="3" t="s">
        <v>239</v>
      </c>
      <c r="K144" s="5">
        <v>1</v>
      </c>
    </row>
    <row r="145" spans="1:11" x14ac:dyDescent="0.25">
      <c r="A145" s="3" t="s">
        <v>7</v>
      </c>
      <c r="B145" s="3" t="s">
        <v>16</v>
      </c>
      <c r="C145" s="3" t="s">
        <v>338</v>
      </c>
      <c r="D145" s="4"/>
      <c r="E145" s="2">
        <v>72</v>
      </c>
      <c r="F145" s="2">
        <v>215</v>
      </c>
      <c r="G145" s="2">
        <v>98</v>
      </c>
      <c r="H145" s="3" t="s">
        <v>339</v>
      </c>
      <c r="I145" s="3" t="s">
        <v>17</v>
      </c>
      <c r="J145" s="3" t="s">
        <v>340</v>
      </c>
      <c r="K145" s="5">
        <v>3</v>
      </c>
    </row>
    <row r="146" spans="1:11" x14ac:dyDescent="0.25">
      <c r="A146" s="3" t="s">
        <v>7</v>
      </c>
      <c r="B146" s="3" t="s">
        <v>16</v>
      </c>
      <c r="C146" s="3" t="s">
        <v>9</v>
      </c>
      <c r="D146" s="2">
        <v>90</v>
      </c>
      <c r="E146" s="4"/>
      <c r="F146" s="2">
        <v>215</v>
      </c>
      <c r="G146" s="2">
        <v>98</v>
      </c>
      <c r="H146" s="3" t="s">
        <v>5</v>
      </c>
      <c r="I146" s="3" t="s">
        <v>17</v>
      </c>
      <c r="J146" s="3" t="s">
        <v>11</v>
      </c>
      <c r="K146" s="5">
        <v>3</v>
      </c>
    </row>
    <row r="147" spans="1:11" x14ac:dyDescent="0.25">
      <c r="A147" s="3" t="s">
        <v>7</v>
      </c>
      <c r="B147" s="3" t="s">
        <v>16</v>
      </c>
      <c r="C147" s="3" t="s">
        <v>124</v>
      </c>
      <c r="D147" s="2">
        <v>30</v>
      </c>
      <c r="E147" s="4"/>
      <c r="F147" s="2">
        <v>215</v>
      </c>
      <c r="G147" s="2">
        <v>98</v>
      </c>
      <c r="H147" s="3" t="s">
        <v>45</v>
      </c>
      <c r="I147" s="3" t="s">
        <v>17</v>
      </c>
      <c r="J147" s="3" t="s">
        <v>126</v>
      </c>
      <c r="K147" s="5">
        <v>1</v>
      </c>
    </row>
    <row r="148" spans="1:11" x14ac:dyDescent="0.25">
      <c r="A148" s="3" t="s">
        <v>7</v>
      </c>
      <c r="B148" s="3" t="s">
        <v>16</v>
      </c>
      <c r="C148" s="3" t="s">
        <v>156</v>
      </c>
      <c r="D148" s="4"/>
      <c r="E148" s="2">
        <v>36</v>
      </c>
      <c r="F148" s="2">
        <v>215</v>
      </c>
      <c r="G148" s="2">
        <v>98</v>
      </c>
      <c r="H148" s="3" t="s">
        <v>45</v>
      </c>
      <c r="I148" s="3" t="s">
        <v>17</v>
      </c>
      <c r="J148" s="3" t="s">
        <v>157</v>
      </c>
      <c r="K148" s="5">
        <v>2</v>
      </c>
    </row>
    <row r="149" spans="1:11" x14ac:dyDescent="0.25">
      <c r="A149" s="3" t="s">
        <v>30</v>
      </c>
      <c r="B149" s="3" t="s">
        <v>265</v>
      </c>
      <c r="C149" s="3" t="s">
        <v>238</v>
      </c>
      <c r="D149" s="2">
        <v>30</v>
      </c>
      <c r="E149" s="2">
        <v>30</v>
      </c>
      <c r="F149" s="2">
        <v>211</v>
      </c>
      <c r="G149" s="2">
        <v>99</v>
      </c>
      <c r="H149" s="3" t="s">
        <v>45</v>
      </c>
      <c r="I149" s="3" t="s">
        <v>266</v>
      </c>
      <c r="J149" s="3" t="s">
        <v>239</v>
      </c>
      <c r="K149" s="5">
        <v>1</v>
      </c>
    </row>
    <row r="150" spans="1:11" x14ac:dyDescent="0.25">
      <c r="A150" s="3" t="s">
        <v>85</v>
      </c>
      <c r="B150" s="3" t="s">
        <v>86</v>
      </c>
      <c r="C150" s="3" t="s">
        <v>64</v>
      </c>
      <c r="D150" s="2">
        <v>30</v>
      </c>
      <c r="E150" s="4"/>
      <c r="F150" s="2">
        <v>217</v>
      </c>
      <c r="G150" s="2">
        <v>100</v>
      </c>
      <c r="H150" s="3" t="s">
        <v>45</v>
      </c>
      <c r="I150" s="3" t="s">
        <v>87</v>
      </c>
      <c r="J150" s="3" t="s">
        <v>66</v>
      </c>
      <c r="K150" s="5">
        <v>1</v>
      </c>
    </row>
    <row r="151" spans="1:11" x14ac:dyDescent="0.25">
      <c r="A151" s="3" t="s">
        <v>85</v>
      </c>
      <c r="B151" s="3" t="s">
        <v>229</v>
      </c>
      <c r="C151" s="3" t="s">
        <v>230</v>
      </c>
      <c r="D151" s="2">
        <v>32</v>
      </c>
      <c r="E151" s="4"/>
      <c r="F151" s="2">
        <v>217</v>
      </c>
      <c r="G151" s="2">
        <v>101</v>
      </c>
      <c r="H151" s="3" t="s">
        <v>45</v>
      </c>
      <c r="I151" s="3" t="s">
        <v>231</v>
      </c>
      <c r="J151" s="3" t="s">
        <v>232</v>
      </c>
      <c r="K151" s="5">
        <v>1</v>
      </c>
    </row>
    <row r="152" spans="1:11" x14ac:dyDescent="0.25">
      <c r="A152" s="3" t="s">
        <v>85</v>
      </c>
      <c r="B152" s="3" t="s">
        <v>233</v>
      </c>
      <c r="C152" s="3" t="s">
        <v>230</v>
      </c>
      <c r="D152" s="2">
        <v>32</v>
      </c>
      <c r="E152" s="4"/>
      <c r="F152" s="2">
        <v>217</v>
      </c>
      <c r="G152" s="2">
        <v>102</v>
      </c>
      <c r="H152" s="3" t="s">
        <v>45</v>
      </c>
      <c r="I152" s="3" t="s">
        <v>234</v>
      </c>
      <c r="J152" s="3" t="s">
        <v>232</v>
      </c>
      <c r="K152" s="5">
        <v>1</v>
      </c>
    </row>
    <row r="153" spans="1:11" s="19" customFormat="1" x14ac:dyDescent="0.25">
      <c r="A153" s="3" t="s">
        <v>34</v>
      </c>
      <c r="B153" s="3" t="s">
        <v>172</v>
      </c>
      <c r="C153" s="3" t="s">
        <v>159</v>
      </c>
      <c r="D153" s="2">
        <v>30</v>
      </c>
      <c r="E153" s="2">
        <v>30</v>
      </c>
      <c r="F153" s="2">
        <v>216</v>
      </c>
      <c r="G153" s="2">
        <v>103</v>
      </c>
      <c r="H153" s="3" t="s">
        <v>45</v>
      </c>
      <c r="I153" s="3" t="s">
        <v>173</v>
      </c>
      <c r="J153" s="3" t="s">
        <v>161</v>
      </c>
      <c r="K153" s="28">
        <v>1</v>
      </c>
    </row>
    <row r="154" spans="1:11" s="19" customFormat="1" x14ac:dyDescent="0.25">
      <c r="A154" s="3" t="s">
        <v>34</v>
      </c>
      <c r="B154" s="3" t="s">
        <v>172</v>
      </c>
      <c r="C154" s="3" t="s">
        <v>238</v>
      </c>
      <c r="D154" s="2">
        <v>30</v>
      </c>
      <c r="E154" s="2">
        <v>30</v>
      </c>
      <c r="F154" s="2">
        <v>216</v>
      </c>
      <c r="G154" s="2">
        <v>103</v>
      </c>
      <c r="H154" s="3" t="s">
        <v>45</v>
      </c>
      <c r="I154" s="3" t="s">
        <v>173</v>
      </c>
      <c r="J154" s="3" t="s">
        <v>239</v>
      </c>
      <c r="K154" s="28">
        <v>1</v>
      </c>
    </row>
    <row r="155" spans="1:11" x14ac:dyDescent="0.25">
      <c r="A155" s="3" t="s">
        <v>322</v>
      </c>
      <c r="B155" s="3" t="s">
        <v>322</v>
      </c>
      <c r="C155" s="3" t="s">
        <v>323</v>
      </c>
      <c r="D155" s="2">
        <v>46</v>
      </c>
      <c r="E155" s="2">
        <v>46</v>
      </c>
      <c r="F155" s="2">
        <v>225</v>
      </c>
      <c r="G155" s="2">
        <v>104</v>
      </c>
      <c r="H155" s="3" t="s">
        <v>45</v>
      </c>
      <c r="I155" s="3" t="s">
        <v>324</v>
      </c>
      <c r="J155" s="3" t="s">
        <v>325</v>
      </c>
      <c r="K155" s="5">
        <v>2</v>
      </c>
    </row>
    <row r="156" spans="1:11" x14ac:dyDescent="0.25">
      <c r="A156" s="3" t="s">
        <v>2</v>
      </c>
      <c r="B156" s="3" t="s">
        <v>200</v>
      </c>
      <c r="C156" s="3" t="s">
        <v>201</v>
      </c>
      <c r="D156" s="2">
        <v>36</v>
      </c>
      <c r="E156" s="2">
        <v>36</v>
      </c>
      <c r="F156" s="2">
        <v>219</v>
      </c>
      <c r="G156" s="2">
        <v>106</v>
      </c>
      <c r="H156" s="3" t="s">
        <v>45</v>
      </c>
      <c r="I156" s="3" t="s">
        <v>202</v>
      </c>
      <c r="J156" s="3" t="s">
        <v>203</v>
      </c>
      <c r="K156" s="5">
        <v>2</v>
      </c>
    </row>
    <row r="157" spans="1:11" x14ac:dyDescent="0.25">
      <c r="A157" s="3" t="s">
        <v>2</v>
      </c>
      <c r="B157" s="3" t="s">
        <v>200</v>
      </c>
      <c r="C157" s="3" t="s">
        <v>351</v>
      </c>
      <c r="D157" s="4"/>
      <c r="E157" s="2">
        <v>58</v>
      </c>
      <c r="F157" s="2">
        <v>219</v>
      </c>
      <c r="G157" s="2">
        <v>106</v>
      </c>
      <c r="H157" s="3" t="s">
        <v>45</v>
      </c>
      <c r="I157" s="3" t="s">
        <v>202</v>
      </c>
      <c r="J157" s="3" t="s">
        <v>352</v>
      </c>
      <c r="K157" s="5">
        <v>2</v>
      </c>
    </row>
    <row r="158" spans="1:11" x14ac:dyDescent="0.25">
      <c r="A158" s="3" t="s">
        <v>326</v>
      </c>
      <c r="B158" s="3" t="s">
        <v>327</v>
      </c>
      <c r="C158" s="3" t="s">
        <v>328</v>
      </c>
      <c r="D158" s="2">
        <v>30</v>
      </c>
      <c r="E158" s="2">
        <v>30</v>
      </c>
      <c r="F158" s="2">
        <v>226</v>
      </c>
      <c r="G158" s="2">
        <v>107</v>
      </c>
      <c r="H158" s="3" t="s">
        <v>45</v>
      </c>
      <c r="I158" s="3" t="s">
        <v>329</v>
      </c>
      <c r="J158" s="3" t="s">
        <v>330</v>
      </c>
      <c r="K158" s="5">
        <v>1</v>
      </c>
    </row>
    <row r="159" spans="1:11" x14ac:dyDescent="0.25">
      <c r="A159" s="3" t="s">
        <v>62</v>
      </c>
      <c r="B159" s="3" t="s">
        <v>88</v>
      </c>
      <c r="C159" s="3" t="s">
        <v>64</v>
      </c>
      <c r="D159" s="2">
        <v>30</v>
      </c>
      <c r="E159" s="2">
        <v>30</v>
      </c>
      <c r="F159" s="2">
        <v>222</v>
      </c>
      <c r="G159" s="2">
        <v>108</v>
      </c>
      <c r="H159" s="3" t="s">
        <v>45</v>
      </c>
      <c r="I159" s="3" t="s">
        <v>89</v>
      </c>
      <c r="J159" s="3" t="s">
        <v>66</v>
      </c>
      <c r="K159" s="5">
        <v>1</v>
      </c>
    </row>
    <row r="160" spans="1:11" x14ac:dyDescent="0.25">
      <c r="A160" s="3" t="s">
        <v>62</v>
      </c>
      <c r="B160" s="3" t="s">
        <v>88</v>
      </c>
      <c r="C160" s="3" t="s">
        <v>144</v>
      </c>
      <c r="D160" s="4"/>
      <c r="E160" s="2">
        <v>36</v>
      </c>
      <c r="F160" s="2">
        <v>222</v>
      </c>
      <c r="G160" s="2">
        <v>108</v>
      </c>
      <c r="H160" s="3" t="s">
        <v>45</v>
      </c>
      <c r="I160" s="3" t="s">
        <v>89</v>
      </c>
      <c r="J160" s="3" t="s">
        <v>145</v>
      </c>
      <c r="K160" s="5">
        <v>2</v>
      </c>
    </row>
    <row r="161" spans="1:11" x14ac:dyDescent="0.25">
      <c r="A161" s="3" t="s">
        <v>62</v>
      </c>
      <c r="B161" s="3" t="s">
        <v>267</v>
      </c>
      <c r="C161" s="3" t="s">
        <v>238</v>
      </c>
      <c r="D161" s="2">
        <v>30</v>
      </c>
      <c r="E161" s="2">
        <v>30</v>
      </c>
      <c r="F161" s="2">
        <v>222</v>
      </c>
      <c r="G161" s="2">
        <v>110</v>
      </c>
      <c r="H161" s="3" t="s">
        <v>45</v>
      </c>
      <c r="I161" s="3" t="s">
        <v>268</v>
      </c>
      <c r="J161" s="3" t="s">
        <v>239</v>
      </c>
      <c r="K161" s="5">
        <v>1</v>
      </c>
    </row>
    <row r="162" spans="1:11" x14ac:dyDescent="0.25">
      <c r="A162" s="3" t="s">
        <v>62</v>
      </c>
      <c r="B162" s="3" t="s">
        <v>267</v>
      </c>
      <c r="C162" s="3" t="s">
        <v>335</v>
      </c>
      <c r="D162" s="4"/>
      <c r="E162" s="2">
        <v>36</v>
      </c>
      <c r="F162" s="2">
        <v>222</v>
      </c>
      <c r="G162" s="2">
        <v>110</v>
      </c>
      <c r="H162" s="3" t="s">
        <v>45</v>
      </c>
      <c r="I162" s="3" t="s">
        <v>268</v>
      </c>
      <c r="J162" s="3" t="s">
        <v>317</v>
      </c>
      <c r="K162" s="5">
        <v>2</v>
      </c>
    </row>
    <row r="163" spans="1:11" x14ac:dyDescent="0.25">
      <c r="A163" s="3" t="s">
        <v>30</v>
      </c>
      <c r="B163" s="3" t="s">
        <v>31</v>
      </c>
      <c r="C163" s="3" t="s">
        <v>32</v>
      </c>
      <c r="D163" s="4"/>
      <c r="E163" s="2">
        <v>120</v>
      </c>
      <c r="F163" s="2">
        <v>211</v>
      </c>
      <c r="G163" s="2">
        <v>111</v>
      </c>
      <c r="H163" s="3" t="s">
        <v>5</v>
      </c>
      <c r="I163" s="3" t="s">
        <v>33</v>
      </c>
      <c r="J163" s="3" t="s">
        <v>33</v>
      </c>
      <c r="K163" s="5">
        <v>4</v>
      </c>
    </row>
    <row r="164" spans="1:11" x14ac:dyDescent="0.25">
      <c r="A164" s="3" t="s">
        <v>30</v>
      </c>
      <c r="B164" s="3" t="s">
        <v>269</v>
      </c>
      <c r="C164" s="3" t="s">
        <v>238</v>
      </c>
      <c r="D164" s="2">
        <v>30</v>
      </c>
      <c r="E164" s="4"/>
      <c r="F164" s="2">
        <v>211</v>
      </c>
      <c r="G164" s="2">
        <v>112</v>
      </c>
      <c r="H164" s="3" t="s">
        <v>45</v>
      </c>
      <c r="I164" s="3" t="s">
        <v>270</v>
      </c>
      <c r="J164" s="3" t="s">
        <v>239</v>
      </c>
      <c r="K164" s="5">
        <v>1</v>
      </c>
    </row>
    <row r="165" spans="1:11" x14ac:dyDescent="0.25">
      <c r="A165" s="3" t="s">
        <v>62</v>
      </c>
      <c r="B165" s="3" t="s">
        <v>269</v>
      </c>
      <c r="C165" s="3" t="s">
        <v>238</v>
      </c>
      <c r="D165" s="2">
        <v>30</v>
      </c>
      <c r="E165" s="4"/>
      <c r="F165" s="2">
        <v>222</v>
      </c>
      <c r="G165" s="2">
        <v>112</v>
      </c>
      <c r="H165" s="3" t="s">
        <v>45</v>
      </c>
      <c r="I165" s="3" t="s">
        <v>270</v>
      </c>
      <c r="J165" s="3" t="s">
        <v>239</v>
      </c>
      <c r="K165" s="5">
        <v>1</v>
      </c>
    </row>
    <row r="166" spans="1:11" x14ac:dyDescent="0.25">
      <c r="A166" s="3" t="s">
        <v>30</v>
      </c>
      <c r="B166" s="3" t="s">
        <v>271</v>
      </c>
      <c r="C166" s="3" t="s">
        <v>238</v>
      </c>
      <c r="D166" s="2">
        <v>30</v>
      </c>
      <c r="E166" s="2">
        <v>30</v>
      </c>
      <c r="F166" s="2">
        <v>211</v>
      </c>
      <c r="G166" s="2">
        <v>113</v>
      </c>
      <c r="H166" s="3" t="s">
        <v>45</v>
      </c>
      <c r="I166" s="3" t="s">
        <v>272</v>
      </c>
      <c r="J166" s="3" t="s">
        <v>239</v>
      </c>
      <c r="K166" s="5">
        <v>1</v>
      </c>
    </row>
    <row r="167" spans="1:11" x14ac:dyDescent="0.25">
      <c r="A167" s="3" t="s">
        <v>62</v>
      </c>
      <c r="B167" s="3" t="s">
        <v>90</v>
      </c>
      <c r="C167" s="3" t="s">
        <v>64</v>
      </c>
      <c r="D167" s="2">
        <v>30</v>
      </c>
      <c r="E167" s="2">
        <v>30</v>
      </c>
      <c r="F167" s="2">
        <v>222</v>
      </c>
      <c r="G167" s="2">
        <v>114</v>
      </c>
      <c r="H167" s="3" t="s">
        <v>45</v>
      </c>
      <c r="I167" s="3" t="s">
        <v>91</v>
      </c>
      <c r="J167" s="3" t="s">
        <v>66</v>
      </c>
      <c r="K167" s="5">
        <v>1</v>
      </c>
    </row>
    <row r="168" spans="1:11" x14ac:dyDescent="0.25">
      <c r="A168" s="3" t="s">
        <v>62</v>
      </c>
      <c r="B168" s="3" t="s">
        <v>102</v>
      </c>
      <c r="C168" s="3" t="s">
        <v>64</v>
      </c>
      <c r="D168" s="2">
        <v>30</v>
      </c>
      <c r="E168" s="2">
        <v>30</v>
      </c>
      <c r="F168" s="2">
        <v>222</v>
      </c>
      <c r="G168" s="2">
        <v>142</v>
      </c>
      <c r="H168" s="3" t="s">
        <v>45</v>
      </c>
      <c r="I168" s="3" t="s">
        <v>103</v>
      </c>
      <c r="J168" s="3" t="s">
        <v>66</v>
      </c>
      <c r="K168" s="5">
        <v>1</v>
      </c>
    </row>
    <row r="169" spans="1:11" x14ac:dyDescent="0.25">
      <c r="A169" s="3" t="s">
        <v>62</v>
      </c>
      <c r="B169" s="3" t="s">
        <v>102</v>
      </c>
      <c r="C169" s="3" t="s">
        <v>144</v>
      </c>
      <c r="D169" s="4"/>
      <c r="E169" s="2">
        <v>36</v>
      </c>
      <c r="F169" s="2">
        <v>222</v>
      </c>
      <c r="G169" s="2">
        <v>142</v>
      </c>
      <c r="H169" s="3" t="s">
        <v>45</v>
      </c>
      <c r="I169" s="3" t="s">
        <v>103</v>
      </c>
      <c r="J169" s="3" t="s">
        <v>145</v>
      </c>
      <c r="K169" s="5">
        <v>2</v>
      </c>
    </row>
    <row r="170" spans="1:11" x14ac:dyDescent="0.25">
      <c r="A170" s="3" t="s">
        <v>2</v>
      </c>
      <c r="B170" s="3" t="s">
        <v>92</v>
      </c>
      <c r="C170" s="3" t="s">
        <v>64</v>
      </c>
      <c r="D170" s="2">
        <v>30</v>
      </c>
      <c r="E170" s="2">
        <v>30</v>
      </c>
      <c r="F170" s="2">
        <v>219</v>
      </c>
      <c r="G170" s="2">
        <v>115</v>
      </c>
      <c r="H170" s="3" t="s">
        <v>45</v>
      </c>
      <c r="I170" s="3" t="s">
        <v>93</v>
      </c>
      <c r="J170" s="3" t="s">
        <v>66</v>
      </c>
      <c r="K170" s="5">
        <v>1</v>
      </c>
    </row>
    <row r="171" spans="1:11" x14ac:dyDescent="0.25">
      <c r="A171" s="3" t="s">
        <v>62</v>
      </c>
      <c r="B171" s="3" t="s">
        <v>92</v>
      </c>
      <c r="C171" s="3" t="s">
        <v>64</v>
      </c>
      <c r="D171" s="2">
        <v>30</v>
      </c>
      <c r="E171" s="2">
        <v>30</v>
      </c>
      <c r="F171" s="2">
        <v>222</v>
      </c>
      <c r="G171" s="2">
        <v>115</v>
      </c>
      <c r="H171" s="3" t="s">
        <v>45</v>
      </c>
      <c r="I171" s="3" t="s">
        <v>93</v>
      </c>
      <c r="J171" s="3" t="s">
        <v>66</v>
      </c>
      <c r="K171" s="5">
        <v>1</v>
      </c>
    </row>
    <row r="172" spans="1:11" x14ac:dyDescent="0.25">
      <c r="A172" s="3" t="s">
        <v>62</v>
      </c>
      <c r="B172" s="3" t="s">
        <v>92</v>
      </c>
      <c r="C172" s="3" t="s">
        <v>238</v>
      </c>
      <c r="D172" s="2">
        <v>30</v>
      </c>
      <c r="E172" s="2">
        <v>30</v>
      </c>
      <c r="F172" s="2">
        <v>222</v>
      </c>
      <c r="G172" s="2">
        <v>115</v>
      </c>
      <c r="H172" s="3" t="s">
        <v>45</v>
      </c>
      <c r="I172" s="3" t="s">
        <v>93</v>
      </c>
      <c r="J172" s="3" t="s">
        <v>239</v>
      </c>
      <c r="K172" s="5">
        <v>1</v>
      </c>
    </row>
    <row r="173" spans="1:11" x14ac:dyDescent="0.25">
      <c r="A173" s="3" t="s">
        <v>2</v>
      </c>
      <c r="B173" s="3" t="s">
        <v>92</v>
      </c>
      <c r="C173" s="3" t="s">
        <v>238</v>
      </c>
      <c r="D173" s="2">
        <v>30</v>
      </c>
      <c r="E173" s="4"/>
      <c r="F173" s="2">
        <v>219</v>
      </c>
      <c r="G173" s="2">
        <v>115</v>
      </c>
      <c r="H173" s="3" t="s">
        <v>45</v>
      </c>
      <c r="I173" s="3" t="s">
        <v>93</v>
      </c>
      <c r="J173" s="3" t="s">
        <v>239</v>
      </c>
      <c r="K173" s="5">
        <v>1</v>
      </c>
    </row>
    <row r="174" spans="1:11" x14ac:dyDescent="0.25">
      <c r="A174" s="3" t="s">
        <v>2</v>
      </c>
      <c r="B174" s="3" t="s">
        <v>235</v>
      </c>
      <c r="C174" s="3" t="s">
        <v>236</v>
      </c>
      <c r="D174" s="4"/>
      <c r="E174" s="2">
        <v>48</v>
      </c>
      <c r="F174" s="2">
        <v>219</v>
      </c>
      <c r="G174" s="2">
        <v>116</v>
      </c>
      <c r="H174" s="3" t="s">
        <v>45</v>
      </c>
      <c r="I174" s="3" t="s">
        <v>237</v>
      </c>
      <c r="J174" s="3" t="s">
        <v>237</v>
      </c>
      <c r="K174" s="5">
        <v>2</v>
      </c>
    </row>
    <row r="175" spans="1:11" x14ac:dyDescent="0.25">
      <c r="A175" s="3" t="s">
        <v>7</v>
      </c>
      <c r="B175" s="3" t="s">
        <v>132</v>
      </c>
      <c r="C175" s="3" t="s">
        <v>124</v>
      </c>
      <c r="D175" s="2">
        <v>30</v>
      </c>
      <c r="E175" s="4"/>
      <c r="F175" s="2">
        <v>215</v>
      </c>
      <c r="G175" s="2">
        <v>117</v>
      </c>
      <c r="H175" s="3" t="s">
        <v>45</v>
      </c>
      <c r="I175" s="3" t="s">
        <v>133</v>
      </c>
      <c r="J175" s="3" t="s">
        <v>126</v>
      </c>
      <c r="K175" s="5">
        <v>1</v>
      </c>
    </row>
    <row r="176" spans="1:11" x14ac:dyDescent="0.25">
      <c r="A176" s="3" t="s">
        <v>7</v>
      </c>
      <c r="B176" s="3" t="s">
        <v>132</v>
      </c>
      <c r="C176" s="3" t="s">
        <v>156</v>
      </c>
      <c r="D176" s="4"/>
      <c r="E176" s="2">
        <v>36</v>
      </c>
      <c r="F176" s="2">
        <v>215</v>
      </c>
      <c r="G176" s="2">
        <v>117</v>
      </c>
      <c r="H176" s="3" t="s">
        <v>45</v>
      </c>
      <c r="I176" s="3" t="s">
        <v>133</v>
      </c>
      <c r="J176" s="3" t="s">
        <v>157</v>
      </c>
      <c r="K176" s="5">
        <v>2</v>
      </c>
    </row>
    <row r="177" spans="1:11" x14ac:dyDescent="0.25">
      <c r="A177" s="3" t="s">
        <v>42</v>
      </c>
      <c r="B177" s="3" t="s">
        <v>308</v>
      </c>
      <c r="C177" s="3" t="s">
        <v>238</v>
      </c>
      <c r="D177" s="2">
        <v>30</v>
      </c>
      <c r="E177" s="2">
        <v>30</v>
      </c>
      <c r="F177" s="2">
        <v>212</v>
      </c>
      <c r="G177" s="2">
        <v>473</v>
      </c>
      <c r="H177" s="3" t="s">
        <v>45</v>
      </c>
      <c r="I177" s="3" t="s">
        <v>309</v>
      </c>
      <c r="J177" s="3" t="s">
        <v>239</v>
      </c>
      <c r="K177" s="5">
        <v>1</v>
      </c>
    </row>
    <row r="178" spans="1:11" x14ac:dyDescent="0.25">
      <c r="A178" s="3" t="s">
        <v>255</v>
      </c>
      <c r="B178" s="3" t="s">
        <v>304</v>
      </c>
      <c r="C178" s="3" t="s">
        <v>238</v>
      </c>
      <c r="D178" s="2">
        <v>30</v>
      </c>
      <c r="E178" s="2">
        <v>30</v>
      </c>
      <c r="F178" s="2">
        <v>218</v>
      </c>
      <c r="G178" s="2">
        <v>468</v>
      </c>
      <c r="H178" s="3" t="s">
        <v>45</v>
      </c>
      <c r="I178" s="3" t="s">
        <v>305</v>
      </c>
      <c r="J178" s="3" t="s">
        <v>239</v>
      </c>
      <c r="K178" s="5">
        <v>1</v>
      </c>
    </row>
    <row r="179" spans="1:11" x14ac:dyDescent="0.25">
      <c r="A179" s="3" t="s">
        <v>2</v>
      </c>
      <c r="B179" s="3" t="s">
        <v>204</v>
      </c>
      <c r="C179" s="3" t="s">
        <v>201</v>
      </c>
      <c r="D179" s="2">
        <v>52</v>
      </c>
      <c r="E179" s="2">
        <v>43</v>
      </c>
      <c r="F179" s="2">
        <v>219</v>
      </c>
      <c r="G179" s="2">
        <v>119</v>
      </c>
      <c r="H179" s="3" t="s">
        <v>45</v>
      </c>
      <c r="I179" s="3" t="s">
        <v>205</v>
      </c>
      <c r="J179" s="3" t="s">
        <v>203</v>
      </c>
      <c r="K179" s="5">
        <v>2</v>
      </c>
    </row>
    <row r="180" spans="1:11" x14ac:dyDescent="0.25">
      <c r="A180" s="3" t="s">
        <v>62</v>
      </c>
      <c r="B180" s="3" t="s">
        <v>94</v>
      </c>
      <c r="C180" s="3" t="s">
        <v>64</v>
      </c>
      <c r="D180" s="2">
        <v>30</v>
      </c>
      <c r="E180" s="2">
        <v>30</v>
      </c>
      <c r="F180" s="2">
        <v>222</v>
      </c>
      <c r="G180" s="2">
        <v>121</v>
      </c>
      <c r="H180" s="3" t="s">
        <v>45</v>
      </c>
      <c r="I180" s="3" t="s">
        <v>95</v>
      </c>
      <c r="J180" s="3" t="s">
        <v>66</v>
      </c>
      <c r="K180" s="5">
        <v>1</v>
      </c>
    </row>
    <row r="181" spans="1:11" x14ac:dyDescent="0.25">
      <c r="A181" s="3" t="s">
        <v>7</v>
      </c>
      <c r="B181" s="3" t="s">
        <v>18</v>
      </c>
      <c r="C181" s="3" t="s">
        <v>338</v>
      </c>
      <c r="D181" s="4"/>
      <c r="E181" s="2">
        <v>72</v>
      </c>
      <c r="F181" s="2">
        <v>215</v>
      </c>
      <c r="G181" s="2">
        <v>122</v>
      </c>
      <c r="H181" s="3" t="s">
        <v>339</v>
      </c>
      <c r="I181" s="3" t="s">
        <v>19</v>
      </c>
      <c r="J181" s="3" t="s">
        <v>340</v>
      </c>
      <c r="K181" s="5">
        <v>3</v>
      </c>
    </row>
    <row r="182" spans="1:11" x14ac:dyDescent="0.25">
      <c r="A182" s="3" t="s">
        <v>7</v>
      </c>
      <c r="B182" s="3" t="s">
        <v>18</v>
      </c>
      <c r="C182" s="3" t="s">
        <v>9</v>
      </c>
      <c r="D182" s="2">
        <v>90</v>
      </c>
      <c r="E182" s="4"/>
      <c r="F182" s="2">
        <v>215</v>
      </c>
      <c r="G182" s="2">
        <v>122</v>
      </c>
      <c r="H182" s="3" t="s">
        <v>5</v>
      </c>
      <c r="I182" s="3" t="s">
        <v>19</v>
      </c>
      <c r="J182" s="3" t="s">
        <v>11</v>
      </c>
      <c r="K182" s="5">
        <v>3</v>
      </c>
    </row>
    <row r="183" spans="1:11" x14ac:dyDescent="0.25">
      <c r="A183" s="3" t="s">
        <v>7</v>
      </c>
      <c r="B183" s="3" t="s">
        <v>18</v>
      </c>
      <c r="C183" s="3" t="s">
        <v>124</v>
      </c>
      <c r="D183" s="2">
        <v>30</v>
      </c>
      <c r="E183" s="4"/>
      <c r="F183" s="2">
        <v>215</v>
      </c>
      <c r="G183" s="2">
        <v>122</v>
      </c>
      <c r="H183" s="3" t="s">
        <v>45</v>
      </c>
      <c r="I183" s="3" t="s">
        <v>19</v>
      </c>
      <c r="J183" s="3" t="s">
        <v>126</v>
      </c>
      <c r="K183" s="5">
        <v>1</v>
      </c>
    </row>
    <row r="184" spans="1:11" x14ac:dyDescent="0.25">
      <c r="A184" s="3" t="s">
        <v>7</v>
      </c>
      <c r="B184" s="3" t="s">
        <v>18</v>
      </c>
      <c r="C184" s="3" t="s">
        <v>156</v>
      </c>
      <c r="D184" s="4"/>
      <c r="E184" s="2">
        <v>36</v>
      </c>
      <c r="F184" s="2">
        <v>215</v>
      </c>
      <c r="G184" s="2">
        <v>122</v>
      </c>
      <c r="H184" s="3" t="s">
        <v>45</v>
      </c>
      <c r="I184" s="3" t="s">
        <v>19</v>
      </c>
      <c r="J184" s="3" t="s">
        <v>157</v>
      </c>
      <c r="K184" s="5">
        <v>2</v>
      </c>
    </row>
    <row r="185" spans="1:11" x14ac:dyDescent="0.25">
      <c r="A185" s="3" t="s">
        <v>7</v>
      </c>
      <c r="B185" s="3" t="s">
        <v>20</v>
      </c>
      <c r="C185" s="3" t="s">
        <v>338</v>
      </c>
      <c r="D185" s="4"/>
      <c r="E185" s="2">
        <v>72</v>
      </c>
      <c r="F185" s="2">
        <v>215</v>
      </c>
      <c r="G185" s="2">
        <v>124</v>
      </c>
      <c r="H185" s="3" t="s">
        <v>339</v>
      </c>
      <c r="I185" s="3" t="s">
        <v>21</v>
      </c>
      <c r="J185" s="3" t="s">
        <v>340</v>
      </c>
      <c r="K185" s="5">
        <v>3</v>
      </c>
    </row>
    <row r="186" spans="1:11" x14ac:dyDescent="0.25">
      <c r="A186" s="3" t="s">
        <v>7</v>
      </c>
      <c r="B186" s="3" t="s">
        <v>20</v>
      </c>
      <c r="C186" s="3" t="s">
        <v>9</v>
      </c>
      <c r="D186" s="2">
        <v>90</v>
      </c>
      <c r="E186" s="4"/>
      <c r="F186" s="2">
        <v>215</v>
      </c>
      <c r="G186" s="2">
        <v>124</v>
      </c>
      <c r="H186" s="3" t="s">
        <v>5</v>
      </c>
      <c r="I186" s="3" t="s">
        <v>21</v>
      </c>
      <c r="J186" s="3" t="s">
        <v>11</v>
      </c>
      <c r="K186" s="5">
        <v>3</v>
      </c>
    </row>
    <row r="187" spans="1:11" x14ac:dyDescent="0.25">
      <c r="A187" s="3" t="s">
        <v>7</v>
      </c>
      <c r="B187" s="3" t="s">
        <v>20</v>
      </c>
      <c r="C187" s="3" t="s">
        <v>124</v>
      </c>
      <c r="D187" s="2">
        <v>30</v>
      </c>
      <c r="E187" s="4"/>
      <c r="F187" s="2">
        <v>215</v>
      </c>
      <c r="G187" s="2">
        <v>124</v>
      </c>
      <c r="H187" s="3" t="s">
        <v>45</v>
      </c>
      <c r="I187" s="3" t="s">
        <v>21</v>
      </c>
      <c r="J187" s="3" t="s">
        <v>126</v>
      </c>
      <c r="K187" s="5">
        <v>1</v>
      </c>
    </row>
    <row r="188" spans="1:11" x14ac:dyDescent="0.25">
      <c r="A188" s="3" t="s">
        <v>7</v>
      </c>
      <c r="B188" s="3" t="s">
        <v>20</v>
      </c>
      <c r="C188" s="3" t="s">
        <v>156</v>
      </c>
      <c r="D188" s="4"/>
      <c r="E188" s="2">
        <v>36</v>
      </c>
      <c r="F188" s="2">
        <v>215</v>
      </c>
      <c r="G188" s="2">
        <v>124</v>
      </c>
      <c r="H188" s="3" t="s">
        <v>45</v>
      </c>
      <c r="I188" s="3" t="s">
        <v>21</v>
      </c>
      <c r="J188" s="3" t="s">
        <v>157</v>
      </c>
      <c r="K188" s="5">
        <v>2</v>
      </c>
    </row>
    <row r="189" spans="1:11" x14ac:dyDescent="0.25">
      <c r="A189" s="3" t="s">
        <v>7</v>
      </c>
      <c r="B189" s="3" t="s">
        <v>22</v>
      </c>
      <c r="C189" s="3" t="s">
        <v>338</v>
      </c>
      <c r="D189" s="4"/>
      <c r="E189" s="2">
        <v>72</v>
      </c>
      <c r="F189" s="2">
        <v>215</v>
      </c>
      <c r="G189" s="2">
        <v>125</v>
      </c>
      <c r="H189" s="3" t="s">
        <v>339</v>
      </c>
      <c r="I189" s="3" t="s">
        <v>23</v>
      </c>
      <c r="J189" s="3" t="s">
        <v>340</v>
      </c>
      <c r="K189" s="5">
        <v>3</v>
      </c>
    </row>
    <row r="190" spans="1:11" x14ac:dyDescent="0.25">
      <c r="A190" s="3" t="s">
        <v>7</v>
      </c>
      <c r="B190" s="3" t="s">
        <v>22</v>
      </c>
      <c r="C190" s="3" t="s">
        <v>9</v>
      </c>
      <c r="D190" s="2">
        <v>90</v>
      </c>
      <c r="E190" s="4"/>
      <c r="F190" s="2">
        <v>215</v>
      </c>
      <c r="G190" s="2">
        <v>125</v>
      </c>
      <c r="H190" s="3" t="s">
        <v>5</v>
      </c>
      <c r="I190" s="3" t="s">
        <v>23</v>
      </c>
      <c r="J190" s="3" t="s">
        <v>11</v>
      </c>
      <c r="K190" s="5">
        <v>3</v>
      </c>
    </row>
    <row r="191" spans="1:11" x14ac:dyDescent="0.25">
      <c r="A191" s="3" t="s">
        <v>7</v>
      </c>
      <c r="B191" s="3" t="s">
        <v>22</v>
      </c>
      <c r="C191" s="3" t="s">
        <v>124</v>
      </c>
      <c r="D191" s="2">
        <v>30</v>
      </c>
      <c r="E191" s="4"/>
      <c r="F191" s="2">
        <v>215</v>
      </c>
      <c r="G191" s="2">
        <v>125</v>
      </c>
      <c r="H191" s="3" t="s">
        <v>45</v>
      </c>
      <c r="I191" s="3" t="s">
        <v>23</v>
      </c>
      <c r="J191" s="3" t="s">
        <v>126</v>
      </c>
      <c r="K191" s="5">
        <v>1</v>
      </c>
    </row>
    <row r="192" spans="1:11" x14ac:dyDescent="0.25">
      <c r="A192" s="3" t="s">
        <v>7</v>
      </c>
      <c r="B192" s="3" t="s">
        <v>22</v>
      </c>
      <c r="C192" s="3" t="s">
        <v>156</v>
      </c>
      <c r="D192" s="4"/>
      <c r="E192" s="2">
        <v>36</v>
      </c>
      <c r="F192" s="2">
        <v>215</v>
      </c>
      <c r="G192" s="2">
        <v>125</v>
      </c>
      <c r="H192" s="3" t="s">
        <v>45</v>
      </c>
      <c r="I192" s="3" t="s">
        <v>23</v>
      </c>
      <c r="J192" s="3" t="s">
        <v>157</v>
      </c>
      <c r="K192" s="5">
        <v>2</v>
      </c>
    </row>
    <row r="193" spans="1:11" x14ac:dyDescent="0.25">
      <c r="A193" s="3" t="s">
        <v>7</v>
      </c>
      <c r="B193" s="3" t="s">
        <v>134</v>
      </c>
      <c r="C193" s="3" t="s">
        <v>124</v>
      </c>
      <c r="D193" s="2">
        <v>30</v>
      </c>
      <c r="E193" s="4"/>
      <c r="F193" s="2">
        <v>215</v>
      </c>
      <c r="G193" s="2">
        <v>126</v>
      </c>
      <c r="H193" s="3" t="s">
        <v>45</v>
      </c>
      <c r="I193" s="3" t="s">
        <v>135</v>
      </c>
      <c r="J193" s="3" t="s">
        <v>126</v>
      </c>
      <c r="K193" s="5">
        <v>1</v>
      </c>
    </row>
    <row r="194" spans="1:11" x14ac:dyDescent="0.25">
      <c r="A194" s="3" t="s">
        <v>7</v>
      </c>
      <c r="B194" s="3" t="s">
        <v>134</v>
      </c>
      <c r="C194" s="3" t="s">
        <v>156</v>
      </c>
      <c r="D194" s="4"/>
      <c r="E194" s="2">
        <v>36</v>
      </c>
      <c r="F194" s="2">
        <v>215</v>
      </c>
      <c r="G194" s="2">
        <v>126</v>
      </c>
      <c r="H194" s="3" t="s">
        <v>45</v>
      </c>
      <c r="I194" s="3" t="s">
        <v>135</v>
      </c>
      <c r="J194" s="3" t="s">
        <v>157</v>
      </c>
      <c r="K194" s="5">
        <v>2</v>
      </c>
    </row>
    <row r="195" spans="1:11" x14ac:dyDescent="0.25">
      <c r="A195" s="3" t="s">
        <v>7</v>
      </c>
      <c r="B195" s="3" t="s">
        <v>136</v>
      </c>
      <c r="C195" s="3" t="s">
        <v>124</v>
      </c>
      <c r="D195" s="2">
        <v>30</v>
      </c>
      <c r="E195" s="4"/>
      <c r="F195" s="2">
        <v>215</v>
      </c>
      <c r="G195" s="2">
        <v>127</v>
      </c>
      <c r="H195" s="3" t="s">
        <v>45</v>
      </c>
      <c r="I195" s="3" t="s">
        <v>137</v>
      </c>
      <c r="J195" s="3" t="s">
        <v>126</v>
      </c>
      <c r="K195" s="5">
        <v>1</v>
      </c>
    </row>
    <row r="196" spans="1:11" x14ac:dyDescent="0.25">
      <c r="A196" s="3" t="s">
        <v>7</v>
      </c>
      <c r="B196" s="3" t="s">
        <v>136</v>
      </c>
      <c r="C196" s="3" t="s">
        <v>156</v>
      </c>
      <c r="D196" s="4"/>
      <c r="E196" s="2">
        <v>36</v>
      </c>
      <c r="F196" s="2">
        <v>215</v>
      </c>
      <c r="G196" s="2">
        <v>127</v>
      </c>
      <c r="H196" s="3" t="s">
        <v>45</v>
      </c>
      <c r="I196" s="3" t="s">
        <v>137</v>
      </c>
      <c r="J196" s="3" t="s">
        <v>157</v>
      </c>
      <c r="K196" s="5">
        <v>2</v>
      </c>
    </row>
    <row r="197" spans="1:11" x14ac:dyDescent="0.25">
      <c r="A197" s="3" t="s">
        <v>62</v>
      </c>
      <c r="B197" s="3" t="s">
        <v>96</v>
      </c>
      <c r="C197" s="3" t="s">
        <v>64</v>
      </c>
      <c r="D197" s="2">
        <v>30</v>
      </c>
      <c r="E197" s="2">
        <v>30</v>
      </c>
      <c r="F197" s="2">
        <v>222</v>
      </c>
      <c r="G197" s="2">
        <v>128</v>
      </c>
      <c r="H197" s="3" t="s">
        <v>45</v>
      </c>
      <c r="I197" s="3" t="s">
        <v>97</v>
      </c>
      <c r="J197" s="3" t="s">
        <v>66</v>
      </c>
      <c r="K197" s="5">
        <v>1</v>
      </c>
    </row>
    <row r="198" spans="1:11" x14ac:dyDescent="0.25">
      <c r="A198" s="3" t="s">
        <v>30</v>
      </c>
      <c r="B198" s="3" t="s">
        <v>273</v>
      </c>
      <c r="C198" s="3" t="s">
        <v>238</v>
      </c>
      <c r="D198" s="2">
        <v>30</v>
      </c>
      <c r="E198" s="2">
        <v>30</v>
      </c>
      <c r="F198" s="2">
        <v>211</v>
      </c>
      <c r="G198" s="2">
        <v>129</v>
      </c>
      <c r="H198" s="3" t="s">
        <v>45</v>
      </c>
      <c r="I198" s="3" t="s">
        <v>274</v>
      </c>
      <c r="J198" s="3" t="s">
        <v>239</v>
      </c>
      <c r="K198" s="5">
        <v>1</v>
      </c>
    </row>
    <row r="199" spans="1:11" x14ac:dyDescent="0.25">
      <c r="A199" s="3" t="s">
        <v>62</v>
      </c>
      <c r="B199" s="3" t="s">
        <v>98</v>
      </c>
      <c r="C199" s="3" t="s">
        <v>64</v>
      </c>
      <c r="D199" s="2">
        <v>30</v>
      </c>
      <c r="E199" s="2">
        <v>30</v>
      </c>
      <c r="F199" s="2">
        <v>222</v>
      </c>
      <c r="G199" s="2">
        <v>130</v>
      </c>
      <c r="H199" s="3" t="s">
        <v>45</v>
      </c>
      <c r="I199" s="3" t="s">
        <v>99</v>
      </c>
      <c r="J199" s="3" t="s">
        <v>66</v>
      </c>
      <c r="K199" s="5">
        <v>1</v>
      </c>
    </row>
    <row r="200" spans="1:11" x14ac:dyDescent="0.25">
      <c r="A200" s="3" t="s">
        <v>62</v>
      </c>
      <c r="B200" s="3" t="s">
        <v>98</v>
      </c>
      <c r="C200" s="3" t="s">
        <v>144</v>
      </c>
      <c r="D200" s="4"/>
      <c r="E200" s="2">
        <v>36</v>
      </c>
      <c r="F200" s="2">
        <v>222</v>
      </c>
      <c r="G200" s="2">
        <v>130</v>
      </c>
      <c r="H200" s="3" t="s">
        <v>45</v>
      </c>
      <c r="I200" s="3" t="s">
        <v>99</v>
      </c>
      <c r="J200" s="3" t="s">
        <v>145</v>
      </c>
      <c r="K200" s="5">
        <v>2</v>
      </c>
    </row>
    <row r="201" spans="1:11" x14ac:dyDescent="0.25">
      <c r="A201" s="3" t="s">
        <v>7</v>
      </c>
      <c r="B201" s="3" t="s">
        <v>24</v>
      </c>
      <c r="C201" s="3" t="s">
        <v>338</v>
      </c>
      <c r="D201" s="4"/>
      <c r="E201" s="2">
        <v>72</v>
      </c>
      <c r="F201" s="2">
        <v>215</v>
      </c>
      <c r="G201" s="2">
        <v>131</v>
      </c>
      <c r="H201" s="3" t="s">
        <v>339</v>
      </c>
      <c r="I201" s="3" t="s">
        <v>25</v>
      </c>
      <c r="J201" s="3" t="s">
        <v>340</v>
      </c>
      <c r="K201" s="5">
        <v>3</v>
      </c>
    </row>
    <row r="202" spans="1:11" x14ac:dyDescent="0.25">
      <c r="A202" s="3" t="s">
        <v>7</v>
      </c>
      <c r="B202" s="3" t="s">
        <v>24</v>
      </c>
      <c r="C202" s="3" t="s">
        <v>9</v>
      </c>
      <c r="D202" s="2">
        <v>90</v>
      </c>
      <c r="E202" s="4"/>
      <c r="F202" s="2">
        <v>215</v>
      </c>
      <c r="G202" s="2">
        <v>131</v>
      </c>
      <c r="H202" s="3" t="s">
        <v>5</v>
      </c>
      <c r="I202" s="3" t="s">
        <v>25</v>
      </c>
      <c r="J202" s="3" t="s">
        <v>11</v>
      </c>
      <c r="K202" s="28">
        <v>3</v>
      </c>
    </row>
    <row r="203" spans="1:11" x14ac:dyDescent="0.25">
      <c r="A203" s="3" t="s">
        <v>7</v>
      </c>
      <c r="B203" s="3" t="s">
        <v>24</v>
      </c>
      <c r="C203" s="3" t="s">
        <v>124</v>
      </c>
      <c r="D203" s="2">
        <v>30</v>
      </c>
      <c r="E203" s="4"/>
      <c r="F203" s="2">
        <v>215</v>
      </c>
      <c r="G203" s="2">
        <v>131</v>
      </c>
      <c r="H203" s="3" t="s">
        <v>45</v>
      </c>
      <c r="I203" s="3" t="s">
        <v>25</v>
      </c>
      <c r="J203" s="3" t="s">
        <v>126</v>
      </c>
      <c r="K203" s="28">
        <v>1</v>
      </c>
    </row>
    <row r="204" spans="1:11" x14ac:dyDescent="0.25">
      <c r="A204" s="3" t="s">
        <v>7</v>
      </c>
      <c r="B204" s="3" t="s">
        <v>24</v>
      </c>
      <c r="C204" s="3" t="s">
        <v>156</v>
      </c>
      <c r="D204" s="4"/>
      <c r="E204" s="2">
        <v>36</v>
      </c>
      <c r="F204" s="2">
        <v>215</v>
      </c>
      <c r="G204" s="2">
        <v>131</v>
      </c>
      <c r="H204" s="3" t="s">
        <v>45</v>
      </c>
      <c r="I204" s="3" t="s">
        <v>25</v>
      </c>
      <c r="J204" s="3" t="s">
        <v>157</v>
      </c>
      <c r="K204" s="5">
        <v>2</v>
      </c>
    </row>
    <row r="205" spans="1:11" x14ac:dyDescent="0.25">
      <c r="A205" s="3" t="s">
        <v>255</v>
      </c>
      <c r="B205" s="3" t="s">
        <v>298</v>
      </c>
      <c r="C205" s="3" t="s">
        <v>238</v>
      </c>
      <c r="D205" s="2">
        <v>30</v>
      </c>
      <c r="E205" s="2">
        <v>30</v>
      </c>
      <c r="F205" s="2">
        <v>218</v>
      </c>
      <c r="G205" s="2">
        <v>458</v>
      </c>
      <c r="H205" s="3" t="s">
        <v>45</v>
      </c>
      <c r="I205" s="3" t="s">
        <v>299</v>
      </c>
      <c r="J205" s="3" t="s">
        <v>239</v>
      </c>
      <c r="K205" s="5">
        <v>1</v>
      </c>
    </row>
    <row r="206" spans="1:11" x14ac:dyDescent="0.25">
      <c r="A206" s="3" t="s">
        <v>62</v>
      </c>
      <c r="B206" s="3" t="s">
        <v>331</v>
      </c>
      <c r="C206" s="3" t="s">
        <v>332</v>
      </c>
      <c r="D206" s="2">
        <v>30</v>
      </c>
      <c r="E206" s="4"/>
      <c r="F206" s="2">
        <v>222</v>
      </c>
      <c r="G206" s="2">
        <v>132</v>
      </c>
      <c r="H206" s="3" t="s">
        <v>45</v>
      </c>
      <c r="I206" s="3" t="s">
        <v>333</v>
      </c>
      <c r="J206" s="3" t="s">
        <v>334</v>
      </c>
      <c r="K206" s="5">
        <v>1</v>
      </c>
    </row>
    <row r="207" spans="1:11" x14ac:dyDescent="0.25">
      <c r="A207" s="3" t="s">
        <v>62</v>
      </c>
      <c r="B207" s="3" t="s">
        <v>331</v>
      </c>
      <c r="C207" s="3" t="s">
        <v>336</v>
      </c>
      <c r="D207" s="4"/>
      <c r="E207" s="2">
        <v>36</v>
      </c>
      <c r="F207" s="2">
        <v>222</v>
      </c>
      <c r="G207" s="2">
        <v>132</v>
      </c>
      <c r="H207" s="3" t="s">
        <v>45</v>
      </c>
      <c r="I207" s="3" t="s">
        <v>333</v>
      </c>
      <c r="J207" s="3" t="s">
        <v>337</v>
      </c>
      <c r="K207" s="5">
        <v>2</v>
      </c>
    </row>
    <row r="208" spans="1:11" x14ac:dyDescent="0.25">
      <c r="A208" s="3" t="s">
        <v>7</v>
      </c>
      <c r="B208" s="3" t="s">
        <v>138</v>
      </c>
      <c r="C208" s="3" t="s">
        <v>338</v>
      </c>
      <c r="D208" s="4"/>
      <c r="E208" s="2">
        <v>72</v>
      </c>
      <c r="F208" s="2">
        <v>215</v>
      </c>
      <c r="G208" s="2">
        <v>133</v>
      </c>
      <c r="H208" s="3" t="s">
        <v>339</v>
      </c>
      <c r="I208" s="3" t="s">
        <v>139</v>
      </c>
      <c r="J208" s="3" t="s">
        <v>340</v>
      </c>
      <c r="K208" s="5">
        <v>3</v>
      </c>
    </row>
    <row r="209" spans="1:11" x14ac:dyDescent="0.25">
      <c r="A209" s="3" t="s">
        <v>7</v>
      </c>
      <c r="B209" s="3" t="s">
        <v>138</v>
      </c>
      <c r="C209" s="3" t="s">
        <v>124</v>
      </c>
      <c r="D209" s="2">
        <v>30</v>
      </c>
      <c r="E209" s="4"/>
      <c r="F209" s="2">
        <v>215</v>
      </c>
      <c r="G209" s="2">
        <v>133</v>
      </c>
      <c r="H209" s="3" t="s">
        <v>45</v>
      </c>
      <c r="I209" s="3" t="s">
        <v>139</v>
      </c>
      <c r="J209" s="3" t="s">
        <v>126</v>
      </c>
      <c r="K209" s="5">
        <v>1</v>
      </c>
    </row>
    <row r="210" spans="1:11" x14ac:dyDescent="0.25">
      <c r="A210" s="3" t="s">
        <v>7</v>
      </c>
      <c r="B210" s="3" t="s">
        <v>138</v>
      </c>
      <c r="C210" s="3" t="s">
        <v>156</v>
      </c>
      <c r="D210" s="4"/>
      <c r="E210" s="2">
        <v>36</v>
      </c>
      <c r="F210" s="2">
        <v>215</v>
      </c>
      <c r="G210" s="2">
        <v>133</v>
      </c>
      <c r="H210" s="3" t="s">
        <v>45</v>
      </c>
      <c r="I210" s="3" t="s">
        <v>139</v>
      </c>
      <c r="J210" s="3" t="s">
        <v>157</v>
      </c>
      <c r="K210" s="5">
        <v>2</v>
      </c>
    </row>
    <row r="211" spans="1:11" x14ac:dyDescent="0.25">
      <c r="A211" s="3" t="s">
        <v>62</v>
      </c>
      <c r="B211" s="3" t="s">
        <v>365</v>
      </c>
      <c r="C211" s="3" t="s">
        <v>366</v>
      </c>
      <c r="D211" s="4"/>
      <c r="E211" s="2">
        <v>45</v>
      </c>
      <c r="F211" s="2">
        <v>222</v>
      </c>
      <c r="G211" s="2">
        <v>545</v>
      </c>
      <c r="H211" s="3" t="s">
        <v>45</v>
      </c>
      <c r="I211" s="3" t="s">
        <v>367</v>
      </c>
      <c r="J211" s="3" t="s">
        <v>368</v>
      </c>
      <c r="K211" s="5">
        <v>2</v>
      </c>
    </row>
    <row r="212" spans="1:11" x14ac:dyDescent="0.25">
      <c r="A212" s="3" t="s">
        <v>220</v>
      </c>
      <c r="B212" s="3" t="s">
        <v>225</v>
      </c>
      <c r="C212" s="3" t="s">
        <v>226</v>
      </c>
      <c r="D212" s="4"/>
      <c r="E212" s="2">
        <v>26</v>
      </c>
      <c r="F212" s="2">
        <v>221</v>
      </c>
      <c r="G212" s="2">
        <v>431</v>
      </c>
      <c r="H212" s="3" t="s">
        <v>45</v>
      </c>
      <c r="I212" s="3" t="s">
        <v>227</v>
      </c>
      <c r="J212" s="3" t="s">
        <v>228</v>
      </c>
      <c r="K212" s="5">
        <v>1</v>
      </c>
    </row>
    <row r="213" spans="1:11" x14ac:dyDescent="0.25">
      <c r="A213" s="3" t="s">
        <v>85</v>
      </c>
      <c r="B213" s="3" t="s">
        <v>186</v>
      </c>
      <c r="C213" s="3" t="s">
        <v>183</v>
      </c>
      <c r="D213" s="2">
        <v>60</v>
      </c>
      <c r="E213" s="4"/>
      <c r="F213" s="2">
        <v>217</v>
      </c>
      <c r="G213" s="2">
        <v>135</v>
      </c>
      <c r="H213" s="3" t="s">
        <v>45</v>
      </c>
      <c r="I213" s="3" t="s">
        <v>187</v>
      </c>
      <c r="J213" s="3" t="s">
        <v>185</v>
      </c>
      <c r="K213" s="5">
        <v>2</v>
      </c>
    </row>
    <row r="214" spans="1:11" x14ac:dyDescent="0.25">
      <c r="A214" s="3" t="s">
        <v>57</v>
      </c>
      <c r="B214" s="3" t="s">
        <v>146</v>
      </c>
      <c r="C214" s="3" t="s">
        <v>147</v>
      </c>
      <c r="D214" s="2">
        <v>52</v>
      </c>
      <c r="E214" s="4"/>
      <c r="F214" s="2">
        <v>214</v>
      </c>
      <c r="G214" s="2">
        <v>136</v>
      </c>
      <c r="H214" s="3" t="s">
        <v>45</v>
      </c>
      <c r="I214" s="3" t="s">
        <v>148</v>
      </c>
      <c r="J214" s="3" t="s">
        <v>149</v>
      </c>
      <c r="K214" s="5">
        <v>2</v>
      </c>
    </row>
    <row r="215" spans="1:11" x14ac:dyDescent="0.25">
      <c r="A215" s="3" t="s">
        <v>275</v>
      </c>
      <c r="B215" s="3" t="s">
        <v>276</v>
      </c>
      <c r="C215" s="3" t="s">
        <v>238</v>
      </c>
      <c r="D215" s="2">
        <v>30</v>
      </c>
      <c r="E215" s="2">
        <v>30</v>
      </c>
      <c r="F215" s="2">
        <v>227</v>
      </c>
      <c r="G215" s="2">
        <v>137</v>
      </c>
      <c r="H215" s="3" t="s">
        <v>45</v>
      </c>
      <c r="I215" s="3" t="s">
        <v>277</v>
      </c>
      <c r="J215" s="3" t="s">
        <v>239</v>
      </c>
      <c r="K215" s="5">
        <v>1</v>
      </c>
    </row>
    <row r="216" spans="1:11" x14ac:dyDescent="0.25">
      <c r="A216" s="3" t="s">
        <v>30</v>
      </c>
      <c r="B216" s="3" t="s">
        <v>278</v>
      </c>
      <c r="C216" s="3" t="s">
        <v>238</v>
      </c>
      <c r="D216" s="2">
        <v>30</v>
      </c>
      <c r="E216" s="2">
        <v>30</v>
      </c>
      <c r="F216" s="2">
        <v>211</v>
      </c>
      <c r="G216" s="2">
        <v>138</v>
      </c>
      <c r="H216" s="3" t="s">
        <v>45</v>
      </c>
      <c r="I216" s="3" t="s">
        <v>279</v>
      </c>
      <c r="J216" s="3" t="s">
        <v>239</v>
      </c>
      <c r="K216" s="5">
        <v>1</v>
      </c>
    </row>
    <row r="217" spans="1:11" x14ac:dyDescent="0.25">
      <c r="A217" s="3" t="s">
        <v>62</v>
      </c>
      <c r="B217" s="3" t="s">
        <v>100</v>
      </c>
      <c r="C217" s="3" t="s">
        <v>64</v>
      </c>
      <c r="D217" s="2">
        <v>30</v>
      </c>
      <c r="E217" s="2">
        <v>30</v>
      </c>
      <c r="F217" s="2">
        <v>222</v>
      </c>
      <c r="G217" s="2">
        <v>139</v>
      </c>
      <c r="H217" s="3" t="s">
        <v>45</v>
      </c>
      <c r="I217" s="3" t="s">
        <v>101</v>
      </c>
      <c r="J217" s="3" t="s">
        <v>66</v>
      </c>
      <c r="K217" s="5">
        <v>1</v>
      </c>
    </row>
    <row r="218" spans="1:11" x14ac:dyDescent="0.25">
      <c r="A218" s="3" t="s">
        <v>62</v>
      </c>
      <c r="B218" s="3" t="s">
        <v>280</v>
      </c>
      <c r="C218" s="3" t="s">
        <v>238</v>
      </c>
      <c r="D218" s="2">
        <v>30</v>
      </c>
      <c r="E218" s="2">
        <v>30</v>
      </c>
      <c r="F218" s="2">
        <v>222</v>
      </c>
      <c r="G218" s="2">
        <v>140</v>
      </c>
      <c r="H218" s="3" t="s">
        <v>45</v>
      </c>
      <c r="I218" s="3" t="s">
        <v>281</v>
      </c>
      <c r="J218" s="3" t="s">
        <v>239</v>
      </c>
      <c r="K218" s="5">
        <v>1</v>
      </c>
    </row>
    <row r="219" spans="1:11" x14ac:dyDescent="0.25">
      <c r="A219" s="3" t="s">
        <v>62</v>
      </c>
      <c r="B219" s="3" t="s">
        <v>280</v>
      </c>
      <c r="C219" s="3" t="s">
        <v>335</v>
      </c>
      <c r="D219" s="4"/>
      <c r="E219" s="2">
        <v>36</v>
      </c>
      <c r="F219" s="2">
        <v>222</v>
      </c>
      <c r="G219" s="2">
        <v>140</v>
      </c>
      <c r="H219" s="3" t="s">
        <v>45</v>
      </c>
      <c r="I219" s="3" t="s">
        <v>281</v>
      </c>
      <c r="J219" s="3" t="s">
        <v>317</v>
      </c>
      <c r="K219" s="5">
        <v>2</v>
      </c>
    </row>
    <row r="220" spans="1:11" x14ac:dyDescent="0.25">
      <c r="A220" s="113" t="s">
        <v>2</v>
      </c>
      <c r="B220" s="113" t="s">
        <v>488</v>
      </c>
      <c r="C220" s="113" t="s">
        <v>489</v>
      </c>
      <c r="D220" s="113"/>
      <c r="E220" s="113">
        <v>40</v>
      </c>
      <c r="F220" s="113">
        <v>219</v>
      </c>
      <c r="G220" s="113">
        <v>571</v>
      </c>
      <c r="H220" s="113" t="s">
        <v>45</v>
      </c>
      <c r="I220" s="113" t="s">
        <v>490</v>
      </c>
      <c r="J220" s="113" t="s">
        <v>203</v>
      </c>
      <c r="K220" s="113">
        <v>2</v>
      </c>
    </row>
    <row r="486" spans="1:11" s="6" customFormat="1" x14ac:dyDescent="0.25">
      <c r="A486"/>
      <c r="B486"/>
      <c r="C486"/>
      <c r="D486"/>
      <c r="E486"/>
      <c r="F486"/>
      <c r="G486"/>
      <c r="H486"/>
      <c r="I486"/>
      <c r="J486"/>
      <c r="K486"/>
    </row>
    <row r="487" spans="1:11" s="6" customFormat="1" x14ac:dyDescent="0.25">
      <c r="A487"/>
      <c r="B487"/>
      <c r="C487"/>
      <c r="D487"/>
      <c r="E487"/>
      <c r="F487"/>
      <c r="G487"/>
      <c r="H487"/>
      <c r="I487"/>
      <c r="J487"/>
      <c r="K487"/>
    </row>
  </sheetData>
  <sheetProtection password="EC77" sheet="1" objects="1" scenarios="1"/>
  <pageMargins left="0.25" right="0.25" top="0.25" bottom="0.2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activeCell="L5" sqref="L5"/>
    </sheetView>
  </sheetViews>
  <sheetFormatPr defaultRowHeight="15" x14ac:dyDescent="0.25"/>
  <cols>
    <col min="1" max="1" width="38" customWidth="1"/>
    <col min="2" max="3" width="7.28515625" customWidth="1"/>
    <col min="4" max="9" width="11" customWidth="1"/>
    <col min="10" max="10" width="13.140625" customWidth="1"/>
    <col min="11" max="11" width="13.5703125" customWidth="1"/>
    <col min="12" max="12" width="14.42578125" customWidth="1"/>
    <col min="13" max="13" width="11.140625" customWidth="1"/>
    <col min="14" max="15" width="11" customWidth="1"/>
    <col min="16" max="16" width="12.85546875" customWidth="1"/>
    <col min="17" max="17" width="14.140625" customWidth="1"/>
    <col min="18" max="18" width="14.5703125" customWidth="1"/>
    <col min="19" max="19" width="13.7109375" customWidth="1"/>
    <col min="20" max="20" width="13.85546875" customWidth="1"/>
    <col min="21" max="21" width="11.7109375" customWidth="1"/>
    <col min="22" max="22" width="12.5703125" customWidth="1"/>
    <col min="23" max="23" width="13" customWidth="1"/>
    <col min="24" max="24" width="14.140625" customWidth="1"/>
    <col min="25" max="25" width="13.7109375" customWidth="1"/>
  </cols>
  <sheetData>
    <row r="1" spans="1:25" ht="18.75" x14ac:dyDescent="0.3">
      <c r="A1" s="213" t="s">
        <v>444</v>
      </c>
      <c r="B1" s="213"/>
      <c r="C1" s="213"/>
      <c r="D1" s="213"/>
      <c r="E1" s="213"/>
      <c r="F1" s="213"/>
      <c r="G1" s="213"/>
      <c r="H1" s="213"/>
      <c r="I1" s="213"/>
      <c r="J1" s="213"/>
      <c r="K1" s="213"/>
      <c r="L1" s="213"/>
      <c r="M1" s="213"/>
      <c r="N1" s="213"/>
      <c r="O1" s="213"/>
      <c r="P1" s="213"/>
      <c r="Q1" s="213"/>
      <c r="R1" s="213"/>
      <c r="S1" s="213"/>
      <c r="T1" s="213"/>
      <c r="U1" s="213"/>
      <c r="V1" s="213"/>
      <c r="W1" s="213"/>
      <c r="X1" s="213"/>
      <c r="Y1" s="213"/>
    </row>
    <row r="2" spans="1:25" ht="18.75" x14ac:dyDescent="0.25">
      <c r="A2" s="214" t="s">
        <v>399</v>
      </c>
      <c r="B2" s="214"/>
      <c r="C2" s="214"/>
      <c r="D2" s="215" t="s">
        <v>406</v>
      </c>
      <c r="E2" s="215"/>
      <c r="F2" s="215"/>
      <c r="G2" s="215"/>
      <c r="H2" s="215"/>
      <c r="I2" s="215"/>
      <c r="J2" s="215"/>
      <c r="K2" s="215"/>
      <c r="L2" s="215"/>
      <c r="M2" s="215"/>
      <c r="N2" s="215"/>
      <c r="O2" s="215"/>
      <c r="P2" s="215"/>
      <c r="Q2" s="215"/>
      <c r="R2" s="215"/>
      <c r="S2" s="215"/>
      <c r="T2" s="215"/>
      <c r="U2" s="215"/>
      <c r="V2" s="215"/>
      <c r="W2" s="215"/>
      <c r="X2" s="215"/>
      <c r="Y2" s="215"/>
    </row>
    <row r="3" spans="1:25" x14ac:dyDescent="0.25">
      <c r="A3" s="214"/>
      <c r="B3" s="214"/>
      <c r="C3" s="214"/>
      <c r="D3" s="186">
        <v>1</v>
      </c>
      <c r="E3" s="186">
        <v>2</v>
      </c>
      <c r="F3" s="186">
        <v>3</v>
      </c>
      <c r="G3" s="181">
        <v>4</v>
      </c>
      <c r="H3" s="181">
        <v>5</v>
      </c>
      <c r="I3" s="181">
        <v>6</v>
      </c>
      <c r="J3" s="181">
        <v>7</v>
      </c>
      <c r="K3" s="181">
        <v>8</v>
      </c>
      <c r="L3" s="181">
        <v>9</v>
      </c>
      <c r="M3" s="181">
        <v>10</v>
      </c>
      <c r="N3" s="181">
        <v>11</v>
      </c>
      <c r="O3" s="181">
        <v>12</v>
      </c>
      <c r="P3" s="182">
        <v>13</v>
      </c>
      <c r="Q3" s="182">
        <v>14</v>
      </c>
      <c r="R3" s="182">
        <v>15</v>
      </c>
      <c r="S3" s="182">
        <v>16</v>
      </c>
      <c r="T3" s="182">
        <v>17</v>
      </c>
      <c r="U3" s="182">
        <v>18</v>
      </c>
      <c r="V3" s="182">
        <v>19</v>
      </c>
      <c r="W3" s="182">
        <v>20</v>
      </c>
      <c r="X3" s="183">
        <v>21</v>
      </c>
      <c r="Y3" s="184">
        <v>22</v>
      </c>
    </row>
    <row r="4" spans="1:25" x14ac:dyDescent="0.25">
      <c r="A4" s="214"/>
      <c r="B4" s="214"/>
      <c r="C4" s="214"/>
      <c r="D4" s="216" t="s">
        <v>382</v>
      </c>
      <c r="E4" s="216"/>
      <c r="F4" s="216"/>
      <c r="G4" s="217" t="s">
        <v>386</v>
      </c>
      <c r="H4" s="217"/>
      <c r="I4" s="217"/>
      <c r="J4" s="217"/>
      <c r="K4" s="217"/>
      <c r="L4" s="217"/>
      <c r="M4" s="217"/>
      <c r="N4" s="217"/>
      <c r="O4" s="217"/>
      <c r="P4" s="219" t="s">
        <v>395</v>
      </c>
      <c r="Q4" s="220"/>
      <c r="R4" s="220"/>
      <c r="S4" s="220"/>
      <c r="T4" s="220"/>
      <c r="U4" s="220"/>
      <c r="V4" s="220"/>
      <c r="W4" s="221"/>
      <c r="X4" s="218" t="s">
        <v>407</v>
      </c>
      <c r="Y4" s="218"/>
    </row>
    <row r="5" spans="1:25" ht="90" x14ac:dyDescent="0.25">
      <c r="A5" s="23" t="s">
        <v>408</v>
      </c>
      <c r="B5" s="23" t="s">
        <v>404</v>
      </c>
      <c r="C5" s="23" t="s">
        <v>1</v>
      </c>
      <c r="D5" s="135" t="s">
        <v>409</v>
      </c>
      <c r="E5" s="135" t="s">
        <v>410</v>
      </c>
      <c r="F5" s="135" t="s">
        <v>411</v>
      </c>
      <c r="G5" s="135" t="s">
        <v>412</v>
      </c>
      <c r="H5" s="135" t="s">
        <v>413</v>
      </c>
      <c r="I5" s="135" t="s">
        <v>414</v>
      </c>
      <c r="J5" s="135" t="s">
        <v>415</v>
      </c>
      <c r="K5" s="135" t="s">
        <v>416</v>
      </c>
      <c r="L5" s="135" t="s">
        <v>417</v>
      </c>
      <c r="M5" s="135" t="s">
        <v>418</v>
      </c>
      <c r="N5" s="135" t="s">
        <v>419</v>
      </c>
      <c r="O5" s="135" t="s">
        <v>420</v>
      </c>
      <c r="P5" s="123" t="s">
        <v>421</v>
      </c>
      <c r="Q5" s="123" t="s">
        <v>422</v>
      </c>
      <c r="R5" s="123" t="s">
        <v>423</v>
      </c>
      <c r="S5" s="123" t="s">
        <v>424</v>
      </c>
      <c r="T5" s="123" t="s">
        <v>425</v>
      </c>
      <c r="U5" s="123" t="s">
        <v>533</v>
      </c>
      <c r="V5" s="124" t="s">
        <v>462</v>
      </c>
      <c r="W5" s="125" t="s">
        <v>461</v>
      </c>
      <c r="X5" s="123" t="s">
        <v>448</v>
      </c>
      <c r="Y5" s="126" t="s">
        <v>449</v>
      </c>
    </row>
    <row r="6" spans="1:25" x14ac:dyDescent="0.25">
      <c r="A6" s="3" t="s">
        <v>26</v>
      </c>
      <c r="B6" s="2">
        <v>215</v>
      </c>
      <c r="C6" s="2">
        <v>437</v>
      </c>
      <c r="D6" s="24">
        <v>62</v>
      </c>
      <c r="E6" s="25">
        <v>26.2</v>
      </c>
      <c r="F6" s="25">
        <v>23.4</v>
      </c>
      <c r="G6" s="31">
        <v>3.4465110968992243</v>
      </c>
      <c r="H6" s="31">
        <v>3.5095651043478258</v>
      </c>
      <c r="I6" s="31">
        <v>3.4990383461538457</v>
      </c>
      <c r="J6" s="54">
        <v>142.84545454545454</v>
      </c>
      <c r="K6" s="54">
        <v>144.97619047619048</v>
      </c>
      <c r="L6" s="54">
        <v>144.97619047619048</v>
      </c>
      <c r="M6" s="54">
        <v>149.06363636363599</v>
      </c>
      <c r="N6" s="54">
        <v>151.96031746031747</v>
      </c>
      <c r="O6" s="54">
        <v>151.96031746031747</v>
      </c>
      <c r="P6" s="75">
        <v>0.58389999999999997</v>
      </c>
      <c r="Q6" s="75">
        <v>0.45039999999999997</v>
      </c>
      <c r="R6" s="75">
        <v>0.47009999999999996</v>
      </c>
      <c r="S6" s="75">
        <v>0.84740000000000004</v>
      </c>
      <c r="T6" s="75">
        <v>1.2999999999999999E-2</v>
      </c>
      <c r="U6" s="65">
        <v>21</v>
      </c>
      <c r="V6" s="75">
        <f>(10-1)/37</f>
        <v>0.24324324324324326</v>
      </c>
      <c r="W6" s="75">
        <f>27/37</f>
        <v>0.72972972972972971</v>
      </c>
      <c r="X6" s="65">
        <v>1</v>
      </c>
      <c r="Y6" s="75">
        <f>X6/Specialist!D7</f>
        <v>2.3809523809523808E-2</v>
      </c>
    </row>
    <row r="7" spans="1:25" x14ac:dyDescent="0.25">
      <c r="A7" s="3" t="s">
        <v>8</v>
      </c>
      <c r="B7" s="2">
        <v>215</v>
      </c>
      <c r="C7" s="2">
        <v>54</v>
      </c>
      <c r="D7" s="24">
        <v>3.4</v>
      </c>
      <c r="E7" s="25">
        <v>2</v>
      </c>
      <c r="F7" s="25">
        <v>1.8</v>
      </c>
      <c r="G7" s="31">
        <v>3.5692304615384618</v>
      </c>
      <c r="H7" s="31">
        <v>3.7125000000000004</v>
      </c>
      <c r="I7" s="31">
        <v>3.7285714285714286</v>
      </c>
      <c r="J7" s="54">
        <v>141.5</v>
      </c>
      <c r="K7" s="54">
        <v>143.69999999999999</v>
      </c>
      <c r="L7" s="54">
        <v>143.69999999999999</v>
      </c>
      <c r="M7" s="54">
        <v>146.35714285714286</v>
      </c>
      <c r="N7" s="54">
        <v>147</v>
      </c>
      <c r="O7" s="54">
        <v>147</v>
      </c>
      <c r="P7" s="75">
        <v>0.17649999999999999</v>
      </c>
      <c r="Q7" s="75">
        <v>0.1</v>
      </c>
      <c r="R7" s="75">
        <v>0.11109999999999999</v>
      </c>
      <c r="S7" s="75">
        <v>0.8095</v>
      </c>
      <c r="T7" s="75">
        <v>0</v>
      </c>
      <c r="U7" s="65">
        <v>0</v>
      </c>
      <c r="V7" s="75">
        <v>0</v>
      </c>
      <c r="W7" s="75">
        <v>0</v>
      </c>
      <c r="X7" s="65">
        <v>0</v>
      </c>
      <c r="Y7" s="75">
        <f>X7/Specialist!D8</f>
        <v>0</v>
      </c>
    </row>
    <row r="8" spans="1:25" x14ac:dyDescent="0.25">
      <c r="A8" s="3" t="s">
        <v>12</v>
      </c>
      <c r="B8" s="2">
        <v>215</v>
      </c>
      <c r="C8" s="2">
        <v>80</v>
      </c>
      <c r="D8" s="24">
        <v>1.2</v>
      </c>
      <c r="E8" s="25">
        <v>0</v>
      </c>
      <c r="F8" s="25">
        <v>0</v>
      </c>
      <c r="G8" s="31">
        <v>3.3</v>
      </c>
      <c r="H8" s="31">
        <v>0</v>
      </c>
      <c r="I8" s="31">
        <v>0</v>
      </c>
      <c r="J8" s="54">
        <v>152</v>
      </c>
      <c r="K8" s="55">
        <v>0</v>
      </c>
      <c r="L8" s="55">
        <v>0</v>
      </c>
      <c r="M8" s="54">
        <v>151</v>
      </c>
      <c r="N8" s="72">
        <v>0</v>
      </c>
      <c r="O8" s="72">
        <v>0</v>
      </c>
      <c r="P8" s="75">
        <v>0.16670000000000001</v>
      </c>
      <c r="Q8" s="75">
        <v>0</v>
      </c>
      <c r="R8" s="75">
        <v>0</v>
      </c>
      <c r="S8" s="75">
        <v>0.66669999999999996</v>
      </c>
      <c r="T8" s="75">
        <v>0</v>
      </c>
      <c r="U8" s="65">
        <v>0</v>
      </c>
      <c r="V8" s="75">
        <f>(1-0)/2</f>
        <v>0.5</v>
      </c>
      <c r="W8" s="75">
        <f>1/2</f>
        <v>0.5</v>
      </c>
      <c r="X8" s="65">
        <v>0</v>
      </c>
      <c r="Y8" s="75">
        <v>0</v>
      </c>
    </row>
    <row r="9" spans="1:25" x14ac:dyDescent="0.25">
      <c r="A9" s="3" t="s">
        <v>14</v>
      </c>
      <c r="B9" s="2">
        <v>215</v>
      </c>
      <c r="C9" s="2">
        <v>91</v>
      </c>
      <c r="D9" s="24">
        <v>7.6</v>
      </c>
      <c r="E9" s="25">
        <v>6.4</v>
      </c>
      <c r="F9" s="25">
        <v>4</v>
      </c>
      <c r="G9" s="31">
        <v>3.5942855714285713</v>
      </c>
      <c r="H9" s="31">
        <v>3.5933331999999996</v>
      </c>
      <c r="I9" s="31">
        <v>3.5842105263157897</v>
      </c>
      <c r="J9" s="54">
        <v>148.08333333333334</v>
      </c>
      <c r="K9" s="54">
        <v>148</v>
      </c>
      <c r="L9" s="54">
        <v>148</v>
      </c>
      <c r="M9" s="54">
        <v>151.36111111111111</v>
      </c>
      <c r="N9" s="54">
        <v>151.73333333333332</v>
      </c>
      <c r="O9" s="54">
        <v>151.73333333333332</v>
      </c>
      <c r="P9" s="75">
        <v>0.23680000000000001</v>
      </c>
      <c r="Q9" s="75">
        <v>0.28129999999999999</v>
      </c>
      <c r="R9" s="75">
        <v>0.35</v>
      </c>
      <c r="S9" s="75">
        <v>0.83589999999999998</v>
      </c>
      <c r="T9" s="75">
        <v>4.1000000000000002E-2</v>
      </c>
      <c r="U9" s="65">
        <v>9</v>
      </c>
      <c r="V9" s="75">
        <f>(2-1)/7</f>
        <v>0.14285714285714285</v>
      </c>
      <c r="W9" s="75">
        <f>5/7</f>
        <v>0.7142857142857143</v>
      </c>
      <c r="X9" s="65">
        <v>1</v>
      </c>
      <c r="Y9" s="75">
        <f>X9/Specialist!D10</f>
        <v>3.125E-2</v>
      </c>
    </row>
    <row r="10" spans="1:25" x14ac:dyDescent="0.25">
      <c r="A10" s="3" t="s">
        <v>16</v>
      </c>
      <c r="B10" s="2">
        <v>215</v>
      </c>
      <c r="C10" s="2">
        <v>98</v>
      </c>
      <c r="D10" s="24">
        <v>9.4</v>
      </c>
      <c r="E10" s="25">
        <v>6.6</v>
      </c>
      <c r="F10" s="25">
        <v>4</v>
      </c>
      <c r="G10" s="31">
        <v>3.5375000000000001</v>
      </c>
      <c r="H10" s="31">
        <v>3.5468745937500001</v>
      </c>
      <c r="I10" s="31">
        <v>3.5399994000000001</v>
      </c>
      <c r="J10" s="54">
        <v>148.71794871794873</v>
      </c>
      <c r="K10" s="54">
        <v>148.7741935483871</v>
      </c>
      <c r="L10" s="54">
        <v>148.7741935483871</v>
      </c>
      <c r="M10" s="54">
        <v>153.17948717948718</v>
      </c>
      <c r="N10" s="54">
        <v>153.19354838709677</v>
      </c>
      <c r="O10" s="54">
        <v>153.19354838709677</v>
      </c>
      <c r="P10" s="75">
        <v>0.25530000000000003</v>
      </c>
      <c r="Q10" s="75">
        <v>0.21210000000000001</v>
      </c>
      <c r="R10" s="75">
        <v>0.25</v>
      </c>
      <c r="S10" s="75">
        <v>0.90800000000000003</v>
      </c>
      <c r="T10" s="75">
        <v>4.8000000000000001E-2</v>
      </c>
      <c r="U10" s="65">
        <v>15</v>
      </c>
      <c r="V10" s="75">
        <f>(3-2)/12</f>
        <v>8.3333333333333329E-2</v>
      </c>
      <c r="W10" s="75">
        <f>9/12</f>
        <v>0.75</v>
      </c>
      <c r="X10" s="65">
        <v>6</v>
      </c>
      <c r="Y10" s="75">
        <f>X10/Specialist!D11</f>
        <v>0.11764705882352941</v>
      </c>
    </row>
    <row r="11" spans="1:25" x14ac:dyDescent="0.25">
      <c r="A11" s="3" t="s">
        <v>18</v>
      </c>
      <c r="B11" s="2">
        <v>215</v>
      </c>
      <c r="C11" s="2">
        <v>122</v>
      </c>
      <c r="D11" s="56">
        <v>0.4</v>
      </c>
      <c r="E11" s="57">
        <v>0</v>
      </c>
      <c r="F11" s="57">
        <v>0</v>
      </c>
      <c r="G11" s="58">
        <v>0</v>
      </c>
      <c r="H11" s="58">
        <v>0</v>
      </c>
      <c r="I11" s="58">
        <v>0</v>
      </c>
      <c r="J11" s="59">
        <v>0</v>
      </c>
      <c r="K11" s="59">
        <v>0</v>
      </c>
      <c r="L11" s="59">
        <v>0</v>
      </c>
      <c r="M11" s="69">
        <v>0</v>
      </c>
      <c r="N11" s="69">
        <v>0</v>
      </c>
      <c r="O11" s="69">
        <v>0</v>
      </c>
      <c r="P11" s="75">
        <v>0</v>
      </c>
      <c r="Q11" s="75">
        <v>0</v>
      </c>
      <c r="R11" s="75">
        <v>0</v>
      </c>
      <c r="S11" s="75">
        <v>0</v>
      </c>
      <c r="T11" s="75">
        <v>0</v>
      </c>
      <c r="U11" s="65">
        <v>0</v>
      </c>
      <c r="V11" s="75">
        <v>0</v>
      </c>
      <c r="W11" s="75">
        <v>0</v>
      </c>
      <c r="X11" s="65">
        <v>0</v>
      </c>
      <c r="Y11" s="75">
        <v>0</v>
      </c>
    </row>
    <row r="12" spans="1:25" x14ac:dyDescent="0.25">
      <c r="A12" s="3" t="s">
        <v>20</v>
      </c>
      <c r="B12" s="2">
        <v>215</v>
      </c>
      <c r="C12" s="2">
        <v>124</v>
      </c>
      <c r="D12" s="24">
        <v>6.2</v>
      </c>
      <c r="E12" s="25">
        <v>5.4</v>
      </c>
      <c r="F12" s="25">
        <v>3.6</v>
      </c>
      <c r="G12" s="33">
        <v>3.5071427142857146</v>
      </c>
      <c r="H12" s="33">
        <v>3.5359999200000001</v>
      </c>
      <c r="I12" s="33">
        <v>3.4944444444444449</v>
      </c>
      <c r="J12" s="54">
        <v>148.25925925925927</v>
      </c>
      <c r="K12" s="54">
        <v>148.04166666666666</v>
      </c>
      <c r="L12" s="54">
        <v>148.04166666666666</v>
      </c>
      <c r="M12" s="54">
        <v>152.55555555555554</v>
      </c>
      <c r="N12" s="54">
        <v>153.25</v>
      </c>
      <c r="O12" s="54">
        <v>153.25</v>
      </c>
      <c r="P12" s="75">
        <v>0.22579999999999997</v>
      </c>
      <c r="Q12" s="75">
        <v>0.25929999999999997</v>
      </c>
      <c r="R12" s="75">
        <v>0.33329999999999999</v>
      </c>
      <c r="S12" s="75">
        <v>0.83220000000000005</v>
      </c>
      <c r="T12" s="75">
        <v>3.5000000000000003E-2</v>
      </c>
      <c r="U12" s="65">
        <v>6</v>
      </c>
      <c r="V12" s="75">
        <f>(0-0)/10</f>
        <v>0</v>
      </c>
      <c r="W12" s="75">
        <f>10/10</f>
        <v>1</v>
      </c>
      <c r="X12" s="65">
        <v>6</v>
      </c>
      <c r="Y12" s="75">
        <f>X12/Specialist!D13</f>
        <v>0.2857142857142857</v>
      </c>
    </row>
    <row r="13" spans="1:25" x14ac:dyDescent="0.25">
      <c r="A13" s="3" t="s">
        <v>22</v>
      </c>
      <c r="B13" s="2">
        <v>215</v>
      </c>
      <c r="C13" s="2">
        <v>125</v>
      </c>
      <c r="D13" s="24">
        <v>39.4</v>
      </c>
      <c r="E13" s="25">
        <v>13</v>
      </c>
      <c r="F13" s="25">
        <v>7.4</v>
      </c>
      <c r="G13" s="33">
        <v>3.5812830213903739</v>
      </c>
      <c r="H13" s="33">
        <v>3.6461536769230767</v>
      </c>
      <c r="I13" s="33">
        <v>3.6054052702702699</v>
      </c>
      <c r="J13" s="54">
        <v>148.75916230366491</v>
      </c>
      <c r="K13" s="54">
        <v>150.58461538461538</v>
      </c>
      <c r="L13" s="54">
        <v>150.58461538461538</v>
      </c>
      <c r="M13" s="69">
        <v>153.13612565445027</v>
      </c>
      <c r="N13" s="69">
        <v>154.6</v>
      </c>
      <c r="O13" s="69">
        <v>154.6</v>
      </c>
      <c r="P13" s="75">
        <v>0.20300000000000001</v>
      </c>
      <c r="Q13" s="75">
        <v>0.30769999999999997</v>
      </c>
      <c r="R13" s="75">
        <v>0.37840000000000001</v>
      </c>
      <c r="S13" s="75">
        <v>0.8</v>
      </c>
      <c r="T13" s="75">
        <v>0</v>
      </c>
      <c r="U13" s="65">
        <v>8</v>
      </c>
      <c r="V13" s="75">
        <f>(0-0)/3</f>
        <v>0</v>
      </c>
      <c r="W13" s="75">
        <f>3/3</f>
        <v>1</v>
      </c>
      <c r="X13" s="65">
        <v>8</v>
      </c>
      <c r="Y13" s="75">
        <f>X13/Specialist!D14</f>
        <v>0.30769230769230771</v>
      </c>
    </row>
    <row r="14" spans="1:25" x14ac:dyDescent="0.25">
      <c r="A14" s="3" t="s">
        <v>24</v>
      </c>
      <c r="B14" s="2">
        <v>215</v>
      </c>
      <c r="C14" s="2">
        <v>131</v>
      </c>
      <c r="D14" s="24">
        <v>5.6</v>
      </c>
      <c r="E14" s="25">
        <v>3.2</v>
      </c>
      <c r="F14" s="25">
        <v>3</v>
      </c>
      <c r="G14" s="33">
        <v>3.5142855714285708</v>
      </c>
      <c r="H14" s="33">
        <v>3.5833332500000004</v>
      </c>
      <c r="I14" s="33">
        <v>3.5833332500000004</v>
      </c>
      <c r="J14" s="54">
        <v>145.76923076923077</v>
      </c>
      <c r="K14" s="54">
        <v>145.30000000000001</v>
      </c>
      <c r="L14" s="54">
        <v>145.30000000000001</v>
      </c>
      <c r="M14" s="54">
        <v>150.76923076923077</v>
      </c>
      <c r="N14" s="54">
        <v>151.19999999999999</v>
      </c>
      <c r="O14" s="54">
        <v>151.19999999999999</v>
      </c>
      <c r="P14" s="75">
        <v>0.17859999999999998</v>
      </c>
      <c r="Q14" s="75">
        <v>0.125</v>
      </c>
      <c r="R14" s="75">
        <v>0.1333</v>
      </c>
      <c r="S14" s="75">
        <v>0.86270000000000002</v>
      </c>
      <c r="T14" s="75">
        <v>0</v>
      </c>
      <c r="U14" s="65">
        <v>1</v>
      </c>
      <c r="V14" s="75">
        <f>(5-0)/5</f>
        <v>1</v>
      </c>
      <c r="W14" s="75">
        <f>0/5</f>
        <v>0</v>
      </c>
      <c r="X14" s="65">
        <v>0</v>
      </c>
      <c r="Y14" s="75">
        <f>X14/Specialist!D15</f>
        <v>0</v>
      </c>
    </row>
    <row r="15" spans="1:25" x14ac:dyDescent="0.25">
      <c r="A15" s="3" t="s">
        <v>138</v>
      </c>
      <c r="B15" s="2">
        <v>215</v>
      </c>
      <c r="C15" s="2">
        <v>133</v>
      </c>
      <c r="D15" s="29">
        <v>0</v>
      </c>
      <c r="E15" s="30">
        <v>0</v>
      </c>
      <c r="F15" s="30">
        <v>0</v>
      </c>
      <c r="G15" s="57">
        <v>0</v>
      </c>
      <c r="H15" s="57">
        <v>0</v>
      </c>
      <c r="I15" s="57">
        <v>0</v>
      </c>
      <c r="J15" s="57">
        <v>0</v>
      </c>
      <c r="K15" s="57">
        <v>0</v>
      </c>
      <c r="L15" s="57">
        <v>0</v>
      </c>
      <c r="M15" s="57">
        <v>0</v>
      </c>
      <c r="N15" s="57">
        <v>0</v>
      </c>
      <c r="O15" s="57">
        <v>0</v>
      </c>
      <c r="P15" s="75">
        <v>0</v>
      </c>
      <c r="Q15" s="75">
        <v>0</v>
      </c>
      <c r="R15" s="75">
        <v>0</v>
      </c>
      <c r="S15" s="75">
        <v>1</v>
      </c>
      <c r="T15" s="75">
        <v>0</v>
      </c>
      <c r="U15" s="65">
        <v>0</v>
      </c>
      <c r="V15" s="75">
        <v>0</v>
      </c>
      <c r="W15" s="75">
        <v>0</v>
      </c>
      <c r="X15" s="65">
        <v>0</v>
      </c>
      <c r="Y15" s="75">
        <v>0</v>
      </c>
    </row>
    <row r="16" spans="1:25" x14ac:dyDescent="0.25">
      <c r="D16" s="27"/>
      <c r="E16" s="26"/>
      <c r="F16" s="26"/>
    </row>
  </sheetData>
  <sheetProtection password="EC77" sheet="1" objects="1" scenarios="1"/>
  <mergeCells count="7">
    <mergeCell ref="A1:Y1"/>
    <mergeCell ref="A2:C4"/>
    <mergeCell ref="D2:Y2"/>
    <mergeCell ref="D4:F4"/>
    <mergeCell ref="G4:O4"/>
    <mergeCell ref="X4:Y4"/>
    <mergeCell ref="P4:W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5"/>
  <sheetViews>
    <sheetView topLeftCell="I1" zoomScale="85" zoomScaleNormal="85" workbookViewId="0">
      <pane ySplit="6" topLeftCell="A7" activePane="bottomLeft" state="frozen"/>
      <selection pane="bottomLeft" activeCell="V6" sqref="V6"/>
    </sheetView>
  </sheetViews>
  <sheetFormatPr defaultRowHeight="15" x14ac:dyDescent="0.25"/>
  <cols>
    <col min="1" max="1" width="29.140625" customWidth="1"/>
    <col min="2" max="2" width="26.28515625" customWidth="1"/>
    <col min="3" max="3" width="9.42578125" customWidth="1"/>
    <col min="4" max="4" width="8.42578125" customWidth="1"/>
    <col min="5" max="7" width="11.140625" customWidth="1"/>
    <col min="8" max="10" width="11.140625" style="46" customWidth="1"/>
    <col min="11" max="11" width="13.140625" style="61" customWidth="1"/>
    <col min="12" max="12" width="11.7109375" style="61" customWidth="1"/>
    <col min="13" max="13" width="11.42578125" style="61" customWidth="1"/>
    <col min="14" max="14" width="12.42578125" customWidth="1"/>
    <col min="15" max="15" width="11" customWidth="1"/>
    <col min="16" max="16" width="12" customWidth="1"/>
    <col min="17" max="17" width="12.85546875" customWidth="1"/>
    <col min="18" max="19" width="11" customWidth="1"/>
    <col min="20" max="20" width="13" customWidth="1"/>
    <col min="21" max="21" width="13.85546875" customWidth="1"/>
    <col min="22" max="22" width="11.7109375" customWidth="1"/>
    <col min="23" max="23" width="12.7109375" customWidth="1"/>
    <col min="24" max="24" width="13.85546875" customWidth="1"/>
    <col min="25" max="25" width="15.5703125" customWidth="1"/>
    <col min="26" max="26" width="15.42578125" customWidth="1"/>
  </cols>
  <sheetData>
    <row r="1" spans="1:26" ht="18.75" x14ac:dyDescent="0.3">
      <c r="A1" s="213" t="s">
        <v>523</v>
      </c>
      <c r="B1" s="213"/>
      <c r="C1" s="213"/>
      <c r="D1" s="213"/>
      <c r="E1" s="213"/>
      <c r="F1" s="213"/>
      <c r="G1" s="213"/>
      <c r="H1" s="213"/>
      <c r="I1" s="213"/>
      <c r="J1" s="213"/>
      <c r="K1" s="213"/>
      <c r="L1" s="213"/>
      <c r="M1" s="213"/>
      <c r="N1" s="213"/>
      <c r="O1" s="213"/>
      <c r="P1" s="213"/>
      <c r="Q1" s="213"/>
      <c r="R1" s="213"/>
      <c r="S1" s="213"/>
      <c r="T1" s="213"/>
      <c r="U1" s="213"/>
      <c r="V1" s="213"/>
      <c r="W1" s="213"/>
      <c r="X1" s="213"/>
      <c r="Y1" s="213"/>
      <c r="Z1" s="213"/>
    </row>
    <row r="2" spans="1:26" ht="18.75" x14ac:dyDescent="0.25">
      <c r="A2" s="214" t="s">
        <v>399</v>
      </c>
      <c r="B2" s="214"/>
      <c r="C2" s="214"/>
      <c r="D2" s="214"/>
      <c r="E2" s="215" t="s">
        <v>406</v>
      </c>
      <c r="F2" s="215"/>
      <c r="G2" s="215"/>
      <c r="H2" s="215"/>
      <c r="I2" s="215"/>
      <c r="J2" s="215"/>
      <c r="K2" s="215"/>
      <c r="L2" s="215"/>
      <c r="M2" s="215"/>
      <c r="N2" s="215"/>
      <c r="O2" s="215"/>
      <c r="P2" s="215"/>
      <c r="Q2" s="215"/>
      <c r="R2" s="215"/>
      <c r="S2" s="215"/>
      <c r="T2" s="215"/>
      <c r="U2" s="215"/>
      <c r="V2" s="215"/>
      <c r="W2" s="215"/>
      <c r="X2" s="215"/>
      <c r="Y2" s="215"/>
      <c r="Z2" s="215"/>
    </row>
    <row r="3" spans="1:26" x14ac:dyDescent="0.25">
      <c r="A3" s="214"/>
      <c r="B3" s="214"/>
      <c r="C3" s="214"/>
      <c r="D3" s="214"/>
      <c r="E3" s="186">
        <v>1</v>
      </c>
      <c r="F3" s="186">
        <v>2</v>
      </c>
      <c r="G3" s="186">
        <v>3</v>
      </c>
      <c r="H3" s="185">
        <v>4</v>
      </c>
      <c r="I3" s="185">
        <v>5</v>
      </c>
      <c r="J3" s="185">
        <v>6</v>
      </c>
      <c r="K3" s="185">
        <v>7</v>
      </c>
      <c r="L3" s="185">
        <v>8</v>
      </c>
      <c r="M3" s="185">
        <v>9</v>
      </c>
      <c r="N3" s="181">
        <v>10</v>
      </c>
      <c r="O3" s="181">
        <v>11</v>
      </c>
      <c r="P3" s="181">
        <v>12</v>
      </c>
      <c r="Q3" s="182">
        <v>13</v>
      </c>
      <c r="R3" s="182">
        <v>14</v>
      </c>
      <c r="S3" s="182">
        <v>15</v>
      </c>
      <c r="T3" s="182">
        <v>16</v>
      </c>
      <c r="U3" s="182">
        <v>17</v>
      </c>
      <c r="V3" s="182">
        <v>18</v>
      </c>
      <c r="W3" s="182">
        <v>19</v>
      </c>
      <c r="X3" s="182">
        <v>20</v>
      </c>
      <c r="Y3" s="183">
        <v>21</v>
      </c>
      <c r="Z3" s="184">
        <v>22</v>
      </c>
    </row>
    <row r="4" spans="1:26" x14ac:dyDescent="0.25">
      <c r="A4" s="214"/>
      <c r="B4" s="214"/>
      <c r="C4" s="214"/>
      <c r="D4" s="214"/>
      <c r="E4" s="222" t="s">
        <v>382</v>
      </c>
      <c r="F4" s="222"/>
      <c r="G4" s="222"/>
      <c r="H4" s="217" t="s">
        <v>386</v>
      </c>
      <c r="I4" s="217"/>
      <c r="J4" s="217"/>
      <c r="K4" s="217"/>
      <c r="L4" s="217"/>
      <c r="M4" s="217"/>
      <c r="N4" s="217"/>
      <c r="O4" s="217"/>
      <c r="P4" s="217"/>
      <c r="Q4" s="223" t="s">
        <v>395</v>
      </c>
      <c r="R4" s="223"/>
      <c r="S4" s="223"/>
      <c r="T4" s="223"/>
      <c r="U4" s="223"/>
      <c r="V4" s="223"/>
      <c r="W4" s="100"/>
      <c r="X4" s="100"/>
      <c r="Y4" s="218" t="s">
        <v>407</v>
      </c>
      <c r="Z4" s="218"/>
    </row>
    <row r="5" spans="1:26" ht="90" x14ac:dyDescent="0.25">
      <c r="A5" s="107" t="s">
        <v>408</v>
      </c>
      <c r="B5" s="108" t="s">
        <v>0</v>
      </c>
      <c r="C5" s="107" t="s">
        <v>404</v>
      </c>
      <c r="D5" s="107" t="s">
        <v>1</v>
      </c>
      <c r="E5" s="135" t="s">
        <v>409</v>
      </c>
      <c r="F5" s="135" t="s">
        <v>410</v>
      </c>
      <c r="G5" s="135" t="s">
        <v>411</v>
      </c>
      <c r="H5" s="135" t="s">
        <v>412</v>
      </c>
      <c r="I5" s="135" t="s">
        <v>413</v>
      </c>
      <c r="J5" s="135" t="s">
        <v>414</v>
      </c>
      <c r="K5" s="135" t="s">
        <v>415</v>
      </c>
      <c r="L5" s="135" t="s">
        <v>416</v>
      </c>
      <c r="M5" s="135" t="s">
        <v>417</v>
      </c>
      <c r="N5" s="135" t="s">
        <v>418</v>
      </c>
      <c r="O5" s="135" t="s">
        <v>419</v>
      </c>
      <c r="P5" s="135" t="s">
        <v>420</v>
      </c>
      <c r="Q5" s="123" t="s">
        <v>421</v>
      </c>
      <c r="R5" s="123" t="s">
        <v>422</v>
      </c>
      <c r="S5" s="123" t="s">
        <v>423</v>
      </c>
      <c r="T5" s="123" t="s">
        <v>505</v>
      </c>
      <c r="U5" s="123" t="s">
        <v>506</v>
      </c>
      <c r="V5" s="123" t="s">
        <v>533</v>
      </c>
      <c r="W5" s="124" t="s">
        <v>462</v>
      </c>
      <c r="X5" s="125" t="s">
        <v>461</v>
      </c>
      <c r="Y5" s="123" t="s">
        <v>448</v>
      </c>
      <c r="Z5" s="126" t="s">
        <v>449</v>
      </c>
    </row>
    <row r="6" spans="1:26" x14ac:dyDescent="0.25">
      <c r="A6" s="154" t="s">
        <v>174</v>
      </c>
      <c r="B6" s="154" t="s">
        <v>159</v>
      </c>
      <c r="C6" s="149">
        <v>216</v>
      </c>
      <c r="D6" s="149">
        <v>331</v>
      </c>
      <c r="E6" s="148">
        <v>111.4</v>
      </c>
      <c r="F6" s="148">
        <v>53.2</v>
      </c>
      <c r="G6" s="148">
        <v>21.8</v>
      </c>
      <c r="H6" s="145">
        <v>3.31</v>
      </c>
      <c r="I6" s="145">
        <v>3.38</v>
      </c>
      <c r="J6" s="145">
        <v>3.32</v>
      </c>
      <c r="K6" s="145">
        <v>159.66999999999999</v>
      </c>
      <c r="L6" s="145">
        <v>160.41999999999999</v>
      </c>
      <c r="M6" s="145">
        <v>158.77000000000001</v>
      </c>
      <c r="N6" s="145">
        <v>152.4</v>
      </c>
      <c r="O6" s="145">
        <v>154.25</v>
      </c>
      <c r="P6" s="145">
        <v>154.13</v>
      </c>
      <c r="Q6" s="151">
        <v>6.8222621184919216E-2</v>
      </c>
      <c r="R6" s="151">
        <v>6.3909774436090222E-2</v>
      </c>
      <c r="S6" s="151">
        <v>0.11926605504587157</v>
      </c>
      <c r="T6" s="140">
        <v>0.16669999999999999</v>
      </c>
      <c r="U6" s="140">
        <v>0.16669999999999999</v>
      </c>
      <c r="V6" s="155">
        <v>1</v>
      </c>
      <c r="W6" s="140">
        <f>(1-0)/1</f>
        <v>1</v>
      </c>
      <c r="X6" s="140">
        <f>0/1</f>
        <v>0</v>
      </c>
      <c r="Y6" s="155">
        <v>1</v>
      </c>
      <c r="Z6" s="140">
        <f>Y6/'Master''s (1 yr)'!E7</f>
        <v>0.25</v>
      </c>
    </row>
    <row r="7" spans="1:26" x14ac:dyDescent="0.25">
      <c r="A7" s="154" t="s">
        <v>174</v>
      </c>
      <c r="B7" s="154" t="s">
        <v>238</v>
      </c>
      <c r="C7" s="149">
        <v>216</v>
      </c>
      <c r="D7" s="149">
        <v>331</v>
      </c>
      <c r="E7" s="148">
        <v>111.4</v>
      </c>
      <c r="F7" s="148">
        <v>53.2</v>
      </c>
      <c r="G7" s="148">
        <v>21.8</v>
      </c>
      <c r="H7" s="147">
        <v>3.3057139095238099</v>
      </c>
      <c r="I7" s="156">
        <v>3.3777773888888891</v>
      </c>
      <c r="J7" s="156">
        <v>3.3184208815789478</v>
      </c>
      <c r="K7" s="145">
        <v>159.66999999999999</v>
      </c>
      <c r="L7" s="145">
        <v>160.41999999999999</v>
      </c>
      <c r="M7" s="145">
        <v>158.77000000000001</v>
      </c>
      <c r="N7" s="152">
        <v>152.40162271805275</v>
      </c>
      <c r="O7" s="145">
        <v>154.24621212121212</v>
      </c>
      <c r="P7" s="145">
        <v>154.13392857142858</v>
      </c>
      <c r="Q7" s="151">
        <v>6.8222621184919216E-2</v>
      </c>
      <c r="R7" s="151">
        <v>6.3909774436090222E-2</v>
      </c>
      <c r="S7" s="151">
        <v>0.11926605504587157</v>
      </c>
      <c r="T7" s="140">
        <v>6.7799999999999999E-2</v>
      </c>
      <c r="U7" s="140">
        <v>0.30509999999999998</v>
      </c>
      <c r="V7" s="155">
        <v>10</v>
      </c>
      <c r="W7" s="140">
        <f>(1-0)/8</f>
        <v>0.125</v>
      </c>
      <c r="X7" s="140">
        <f>7/8</f>
        <v>0.875</v>
      </c>
      <c r="Y7" s="155">
        <v>5</v>
      </c>
      <c r="Z7" s="140">
        <f>Y7/'Master''s (1 yr)'!E8</f>
        <v>0.125</v>
      </c>
    </row>
    <row r="8" spans="1:26" x14ac:dyDescent="0.25">
      <c r="A8" s="154" t="s">
        <v>176</v>
      </c>
      <c r="B8" s="154" t="s">
        <v>159</v>
      </c>
      <c r="C8" s="149">
        <v>216</v>
      </c>
      <c r="D8" s="149">
        <v>332</v>
      </c>
      <c r="E8" s="148">
        <v>21.8</v>
      </c>
      <c r="F8" s="148">
        <v>8.4</v>
      </c>
      <c r="G8" s="148">
        <v>6.6</v>
      </c>
      <c r="H8" s="145">
        <v>3.23</v>
      </c>
      <c r="I8" s="145">
        <v>3.21</v>
      </c>
      <c r="J8" s="145">
        <v>3.19</v>
      </c>
      <c r="K8" s="145">
        <v>156.81</v>
      </c>
      <c r="L8" s="145">
        <v>154.66999999999999</v>
      </c>
      <c r="M8" s="145">
        <v>154.09</v>
      </c>
      <c r="N8" s="145">
        <v>151.85</v>
      </c>
      <c r="O8" s="145">
        <v>151.93</v>
      </c>
      <c r="P8" s="145">
        <v>152.30000000000001</v>
      </c>
      <c r="Q8" s="151">
        <v>6.4220183486238536E-2</v>
      </c>
      <c r="R8" s="151">
        <v>0.11904761904761903</v>
      </c>
      <c r="S8" s="151">
        <v>0.1515</v>
      </c>
      <c r="T8" s="140">
        <v>8.3299999999999999E-2</v>
      </c>
      <c r="U8" s="140">
        <v>0.25</v>
      </c>
      <c r="V8" s="155">
        <v>0</v>
      </c>
      <c r="W8" s="140">
        <f>(0-0)/2</f>
        <v>0</v>
      </c>
      <c r="X8" s="140">
        <f>2/2</f>
        <v>1</v>
      </c>
      <c r="Y8" s="155">
        <v>0</v>
      </c>
      <c r="Z8" s="140">
        <f>Y8/'Master''s (1 yr)'!E9</f>
        <v>0</v>
      </c>
    </row>
    <row r="9" spans="1:26" x14ac:dyDescent="0.25">
      <c r="A9" s="154" t="s">
        <v>176</v>
      </c>
      <c r="B9" s="154" t="s">
        <v>238</v>
      </c>
      <c r="C9" s="149">
        <v>211</v>
      </c>
      <c r="D9" s="149">
        <v>332</v>
      </c>
      <c r="E9" s="148">
        <v>11.8</v>
      </c>
      <c r="F9" s="148">
        <v>4.8</v>
      </c>
      <c r="G9" s="148">
        <v>4.2</v>
      </c>
      <c r="H9" s="158">
        <v>3.34</v>
      </c>
      <c r="I9" s="158">
        <v>3.41</v>
      </c>
      <c r="J9" s="158">
        <v>3.37</v>
      </c>
      <c r="K9" s="145">
        <v>154.94999999999999</v>
      </c>
      <c r="L9" s="145">
        <v>152.63</v>
      </c>
      <c r="M9" s="145">
        <v>151.94999999999999</v>
      </c>
      <c r="N9" s="145">
        <v>147.72999999999999</v>
      </c>
      <c r="O9" s="145">
        <v>148</v>
      </c>
      <c r="P9" s="145">
        <v>146.86000000000001</v>
      </c>
      <c r="Q9" s="151">
        <v>0.10169491525423729</v>
      </c>
      <c r="R9" s="151">
        <v>0.125</v>
      </c>
      <c r="S9" s="151">
        <v>0.1429</v>
      </c>
      <c r="T9" s="140">
        <v>0.57140000000000002</v>
      </c>
      <c r="U9" s="140">
        <v>0.85709999999999997</v>
      </c>
      <c r="V9" s="155">
        <v>0</v>
      </c>
      <c r="W9" s="140">
        <v>0</v>
      </c>
      <c r="X9" s="140">
        <v>0</v>
      </c>
      <c r="Y9" s="155">
        <v>0</v>
      </c>
      <c r="Z9" s="140">
        <f>Y9/'Master''s (1 yr)'!E10</f>
        <v>0</v>
      </c>
    </row>
    <row r="10" spans="1:26" x14ac:dyDescent="0.25">
      <c r="A10" s="154" t="s">
        <v>176</v>
      </c>
      <c r="B10" s="154" t="s">
        <v>238</v>
      </c>
      <c r="C10" s="149">
        <v>216</v>
      </c>
      <c r="D10" s="149">
        <v>332</v>
      </c>
      <c r="E10" s="148">
        <v>21.8</v>
      </c>
      <c r="F10" s="148">
        <v>8.4</v>
      </c>
      <c r="G10" s="148">
        <v>6.6</v>
      </c>
      <c r="H10" s="145">
        <v>3.23</v>
      </c>
      <c r="I10" s="145">
        <v>3.21</v>
      </c>
      <c r="J10" s="145">
        <v>3.19</v>
      </c>
      <c r="K10" s="145">
        <v>156.81</v>
      </c>
      <c r="L10" s="145">
        <v>154.66999999999999</v>
      </c>
      <c r="M10" s="145">
        <v>154.09</v>
      </c>
      <c r="N10" s="145">
        <v>151.85</v>
      </c>
      <c r="O10" s="145">
        <v>151.93</v>
      </c>
      <c r="P10" s="145">
        <v>152.30000000000001</v>
      </c>
      <c r="Q10" s="151">
        <v>6.4220183486238536E-2</v>
      </c>
      <c r="R10" s="151">
        <v>0.11904761904761903</v>
      </c>
      <c r="S10" s="151">
        <v>0.23809523809523805</v>
      </c>
      <c r="T10" s="140">
        <v>0.65</v>
      </c>
      <c r="U10" s="140">
        <v>0.3</v>
      </c>
      <c r="V10" s="155">
        <v>1</v>
      </c>
      <c r="W10" s="140">
        <f>(1-0)/3</f>
        <v>0.33333333333333331</v>
      </c>
      <c r="X10" s="140">
        <f>2/3</f>
        <v>0.66666666666666663</v>
      </c>
      <c r="Y10" s="155">
        <v>4</v>
      </c>
      <c r="Z10" s="140">
        <f>Y10/'Master''s (1 yr)'!E11</f>
        <v>0.8</v>
      </c>
    </row>
    <row r="11" spans="1:26" x14ac:dyDescent="0.25">
      <c r="A11" s="154" t="s">
        <v>282</v>
      </c>
      <c r="B11" s="154" t="s">
        <v>238</v>
      </c>
      <c r="C11" s="149">
        <v>211</v>
      </c>
      <c r="D11" s="149">
        <v>333</v>
      </c>
      <c r="E11" s="148">
        <v>39</v>
      </c>
      <c r="F11" s="148">
        <v>28.6</v>
      </c>
      <c r="G11" s="148">
        <v>23</v>
      </c>
      <c r="H11" s="145">
        <v>3.38</v>
      </c>
      <c r="I11" s="145">
        <v>3.44</v>
      </c>
      <c r="J11" s="145">
        <v>3.42</v>
      </c>
      <c r="K11" s="145">
        <v>146.02000000000001</v>
      </c>
      <c r="L11" s="145">
        <v>146.69</v>
      </c>
      <c r="M11" s="145">
        <v>146.16</v>
      </c>
      <c r="N11" s="152">
        <v>150.12359550561797</v>
      </c>
      <c r="O11" s="145">
        <v>150.97163120567376</v>
      </c>
      <c r="P11" s="145">
        <v>150.70085470085471</v>
      </c>
      <c r="Q11" s="151">
        <v>0.10256410256410256</v>
      </c>
      <c r="R11" s="151">
        <v>9.7902097902097904E-2</v>
      </c>
      <c r="S11" s="151">
        <v>0.10434782608695653</v>
      </c>
      <c r="T11" s="140">
        <v>0.75219999999999998</v>
      </c>
      <c r="U11" s="140">
        <v>1.77E-2</v>
      </c>
      <c r="V11" s="155">
        <v>5</v>
      </c>
      <c r="W11" s="140">
        <f>(0-0)/2</f>
        <v>0</v>
      </c>
      <c r="X11" s="140">
        <f>2/2</f>
        <v>1</v>
      </c>
      <c r="Y11" s="155">
        <v>11</v>
      </c>
      <c r="Z11" s="140">
        <f>Y11/'Master''s (1 yr)'!E12</f>
        <v>0.29729729729729731</v>
      </c>
    </row>
    <row r="12" spans="1:26" x14ac:dyDescent="0.25">
      <c r="A12" s="154" t="s">
        <v>284</v>
      </c>
      <c r="B12" s="154" t="s">
        <v>238</v>
      </c>
      <c r="C12" s="149">
        <v>211</v>
      </c>
      <c r="D12" s="149">
        <v>334</v>
      </c>
      <c r="E12" s="148">
        <v>18.600000000000001</v>
      </c>
      <c r="F12" s="148">
        <v>10.8</v>
      </c>
      <c r="G12" s="148">
        <v>9</v>
      </c>
      <c r="H12" s="145">
        <v>3.27</v>
      </c>
      <c r="I12" s="145">
        <v>3.33</v>
      </c>
      <c r="J12" s="145">
        <v>3.25</v>
      </c>
      <c r="K12" s="145">
        <v>153.07</v>
      </c>
      <c r="L12" s="145">
        <v>154.02000000000001</v>
      </c>
      <c r="M12" s="145">
        <v>153.66</v>
      </c>
      <c r="N12" s="152">
        <v>150.51219512195121</v>
      </c>
      <c r="O12" s="145">
        <v>150.30188679245282</v>
      </c>
      <c r="P12" s="145">
        <v>150.34042553191489</v>
      </c>
      <c r="Q12" s="151">
        <v>7.5268817204301078E-2</v>
      </c>
      <c r="R12" s="151">
        <v>3.7037037037037035E-2</v>
      </c>
      <c r="S12" s="151">
        <v>4.4444444444444446E-2</v>
      </c>
      <c r="T12" s="140">
        <v>0.22950000000000001</v>
      </c>
      <c r="U12" s="140">
        <v>0.42620000000000002</v>
      </c>
      <c r="V12" s="155">
        <v>1</v>
      </c>
      <c r="W12" s="140">
        <f>(0-0)/1</f>
        <v>0</v>
      </c>
      <c r="X12" s="140">
        <f>1/1</f>
        <v>1</v>
      </c>
      <c r="Y12" s="155">
        <v>10</v>
      </c>
      <c r="Z12" s="140">
        <f>Y12/'Master''s (1 yr)'!E13</f>
        <v>0.45454545454545453</v>
      </c>
    </row>
    <row r="13" spans="1:26" x14ac:dyDescent="0.25">
      <c r="A13" s="154" t="s">
        <v>310</v>
      </c>
      <c r="B13" s="154" t="s">
        <v>238</v>
      </c>
      <c r="C13" s="149">
        <v>211</v>
      </c>
      <c r="D13" s="149">
        <v>474</v>
      </c>
      <c r="E13" s="148">
        <v>4.5999999999999996</v>
      </c>
      <c r="F13" s="148">
        <v>0.6</v>
      </c>
      <c r="G13" s="148">
        <v>0.6</v>
      </c>
      <c r="H13" s="145">
        <v>3.3</v>
      </c>
      <c r="I13" s="145">
        <v>2.9</v>
      </c>
      <c r="J13" s="145">
        <v>2.9</v>
      </c>
      <c r="K13" s="145">
        <v>154.13999999999999</v>
      </c>
      <c r="L13" s="145">
        <v>151.66999999999999</v>
      </c>
      <c r="M13" s="145">
        <v>152.4</v>
      </c>
      <c r="N13" s="152">
        <v>150.04761904761904</v>
      </c>
      <c r="O13" s="145">
        <v>145.66666666666666</v>
      </c>
      <c r="P13" s="145">
        <v>149.4</v>
      </c>
      <c r="Q13" s="151">
        <v>4.3478260869565216E-2</v>
      </c>
      <c r="R13" s="151">
        <v>0</v>
      </c>
      <c r="S13" s="151">
        <v>0</v>
      </c>
      <c r="T13" s="140">
        <v>0.83330000000000004</v>
      </c>
      <c r="U13" s="140">
        <v>0.5</v>
      </c>
      <c r="V13" s="155">
        <v>0</v>
      </c>
      <c r="W13" s="140">
        <v>0</v>
      </c>
      <c r="X13" s="140">
        <v>0</v>
      </c>
      <c r="Y13" s="155">
        <v>4</v>
      </c>
      <c r="Z13" s="140">
        <f>Y13/'Master''s (1 yr)'!E14</f>
        <v>1</v>
      </c>
    </row>
    <row r="14" spans="1:26" x14ac:dyDescent="0.25">
      <c r="A14" s="154" t="s">
        <v>286</v>
      </c>
      <c r="B14" s="154" t="s">
        <v>238</v>
      </c>
      <c r="C14" s="149">
        <v>211</v>
      </c>
      <c r="D14" s="149">
        <v>335</v>
      </c>
      <c r="E14" s="148">
        <v>47.2</v>
      </c>
      <c r="F14" s="148">
        <v>20</v>
      </c>
      <c r="G14" s="148">
        <v>18</v>
      </c>
      <c r="H14" s="145">
        <v>3.2</v>
      </c>
      <c r="I14" s="145">
        <v>3.16</v>
      </c>
      <c r="J14" s="145">
        <v>3.15</v>
      </c>
      <c r="K14" s="145">
        <v>150.38</v>
      </c>
      <c r="L14" s="145">
        <v>149.91</v>
      </c>
      <c r="M14" s="145">
        <v>149.82</v>
      </c>
      <c r="N14" s="152">
        <v>149.41784037558685</v>
      </c>
      <c r="O14" s="145">
        <v>149.05000000000001</v>
      </c>
      <c r="P14" s="145">
        <v>148.85148514851485</v>
      </c>
      <c r="Q14" s="151">
        <v>0.1271186440677966</v>
      </c>
      <c r="R14" s="151">
        <v>7.0000000000000007E-2</v>
      </c>
      <c r="S14" s="151">
        <v>7.7777777777777779E-2</v>
      </c>
      <c r="T14" s="140">
        <v>0.6</v>
      </c>
      <c r="U14" s="140">
        <v>0.30590000000000001</v>
      </c>
      <c r="V14" s="155">
        <v>6</v>
      </c>
      <c r="W14" s="140">
        <f>(0-0)/1</f>
        <v>0</v>
      </c>
      <c r="X14" s="140">
        <f>1/1</f>
        <v>1</v>
      </c>
      <c r="Y14" s="155">
        <v>9</v>
      </c>
      <c r="Z14" s="140">
        <f>Y14/'Master''s (1 yr)'!E15</f>
        <v>0.32142857142857145</v>
      </c>
    </row>
    <row r="15" spans="1:26" x14ac:dyDescent="0.25">
      <c r="A15" s="154" t="s">
        <v>104</v>
      </c>
      <c r="B15" s="154" t="s">
        <v>64</v>
      </c>
      <c r="C15" s="149">
        <v>222</v>
      </c>
      <c r="D15" s="149">
        <v>336</v>
      </c>
      <c r="E15" s="148">
        <v>69.400000000000006</v>
      </c>
      <c r="F15" s="148">
        <v>15.2</v>
      </c>
      <c r="G15" s="148">
        <v>8</v>
      </c>
      <c r="H15" s="145">
        <v>3.5</v>
      </c>
      <c r="I15" s="145">
        <v>3.61</v>
      </c>
      <c r="J15" s="145">
        <v>3.59</v>
      </c>
      <c r="K15" s="145">
        <v>148.65</v>
      </c>
      <c r="L15" s="145">
        <v>150.46</v>
      </c>
      <c r="M15" s="145">
        <v>149.16</v>
      </c>
      <c r="N15" s="152">
        <v>155.02140672782875</v>
      </c>
      <c r="O15" s="145">
        <v>156.52631578947367</v>
      </c>
      <c r="P15" s="145">
        <v>155.97727272727272</v>
      </c>
      <c r="Q15" s="151">
        <v>0.14985590778097982</v>
      </c>
      <c r="R15" s="151">
        <v>0.18421052631578946</v>
      </c>
      <c r="S15" s="151">
        <v>0.2</v>
      </c>
      <c r="T15" s="140">
        <v>0.68820000000000003</v>
      </c>
      <c r="U15" s="140">
        <v>0.1613</v>
      </c>
      <c r="V15" s="155">
        <v>5</v>
      </c>
      <c r="W15" s="140">
        <f>(2-1)/7</f>
        <v>0.14285714285714285</v>
      </c>
      <c r="X15" s="140">
        <f>5/7</f>
        <v>0.7142857142857143</v>
      </c>
      <c r="Y15" s="155">
        <v>0</v>
      </c>
      <c r="Z15" s="140">
        <f>Y15/'Master''s (1 yr)'!E16</f>
        <v>0</v>
      </c>
    </row>
    <row r="16" spans="1:26" x14ac:dyDescent="0.25">
      <c r="A16" s="154" t="s">
        <v>302</v>
      </c>
      <c r="B16" s="154" t="s">
        <v>238</v>
      </c>
      <c r="C16" s="149">
        <v>218</v>
      </c>
      <c r="D16" s="149">
        <v>466</v>
      </c>
      <c r="E16" s="148">
        <v>161.6</v>
      </c>
      <c r="F16" s="148">
        <v>37.6</v>
      </c>
      <c r="G16" s="148">
        <v>26</v>
      </c>
      <c r="H16" s="145">
        <v>3.41</v>
      </c>
      <c r="I16" s="145">
        <v>3.5</v>
      </c>
      <c r="J16" s="145">
        <v>3.48</v>
      </c>
      <c r="K16" s="145">
        <v>149.71</v>
      </c>
      <c r="L16" s="145">
        <v>151.13999999999999</v>
      </c>
      <c r="M16" s="145">
        <v>151.36000000000001</v>
      </c>
      <c r="N16" s="152">
        <v>149.91316526610643</v>
      </c>
      <c r="O16" s="145">
        <v>151.83870967741936</v>
      </c>
      <c r="P16" s="145">
        <v>151.66187050359713</v>
      </c>
      <c r="Q16" s="151">
        <v>0.12004950495049505</v>
      </c>
      <c r="R16" s="151">
        <v>9.0425531914893623E-2</v>
      </c>
      <c r="S16" s="151">
        <v>0.11538461538461538</v>
      </c>
      <c r="T16" s="140">
        <v>0.50760000000000005</v>
      </c>
      <c r="U16" s="140">
        <v>0.11360000000000001</v>
      </c>
      <c r="V16" s="155">
        <v>3</v>
      </c>
      <c r="W16" s="140">
        <f>(1-0)/11</f>
        <v>9.0909090909090912E-2</v>
      </c>
      <c r="X16" s="140">
        <f>10/11</f>
        <v>0.90909090909090906</v>
      </c>
      <c r="Y16" s="155">
        <v>21</v>
      </c>
      <c r="Z16" s="140">
        <f>Y16/'Master''s (1 yr)'!E17</f>
        <v>0.51219512195121952</v>
      </c>
    </row>
    <row r="17" spans="1:26" x14ac:dyDescent="0.25">
      <c r="A17" s="154" t="s">
        <v>106</v>
      </c>
      <c r="B17" s="154" t="s">
        <v>64</v>
      </c>
      <c r="C17" s="149">
        <v>217</v>
      </c>
      <c r="D17" s="149">
        <v>339</v>
      </c>
      <c r="E17" s="148">
        <v>118.4</v>
      </c>
      <c r="F17" s="148">
        <v>24.6</v>
      </c>
      <c r="G17" s="148">
        <v>17.2</v>
      </c>
      <c r="H17" s="145">
        <v>3.48</v>
      </c>
      <c r="I17" s="145">
        <v>3.48</v>
      </c>
      <c r="J17" s="145">
        <v>3.48</v>
      </c>
      <c r="K17" s="145">
        <v>150.11000000000001</v>
      </c>
      <c r="L17" s="145">
        <v>150.19999999999999</v>
      </c>
      <c r="M17" s="145">
        <v>151.09</v>
      </c>
      <c r="N17" s="152">
        <v>149.25454545454545</v>
      </c>
      <c r="O17" s="145">
        <v>151.80000000000001</v>
      </c>
      <c r="P17" s="145">
        <v>150.09090909090909</v>
      </c>
      <c r="Q17" s="151">
        <v>0.13682432432432431</v>
      </c>
      <c r="R17" s="151">
        <v>0.14634146341463414</v>
      </c>
      <c r="S17" s="151">
        <v>0.16279069767441862</v>
      </c>
      <c r="T17" s="140">
        <v>0</v>
      </c>
      <c r="U17" s="140">
        <v>0</v>
      </c>
      <c r="V17" s="155">
        <v>0</v>
      </c>
      <c r="W17" s="140">
        <v>0</v>
      </c>
      <c r="X17" s="140">
        <v>0</v>
      </c>
      <c r="Y17" s="155">
        <v>0</v>
      </c>
      <c r="Z17" s="140">
        <v>0</v>
      </c>
    </row>
    <row r="18" spans="1:26" x14ac:dyDescent="0.25">
      <c r="A18" s="154" t="s">
        <v>108</v>
      </c>
      <c r="B18" s="154" t="s">
        <v>64</v>
      </c>
      <c r="C18" s="149">
        <v>217</v>
      </c>
      <c r="D18" s="149">
        <v>340</v>
      </c>
      <c r="E18" s="148">
        <v>73.2</v>
      </c>
      <c r="F18" s="148">
        <v>53.6</v>
      </c>
      <c r="G18" s="148">
        <v>43</v>
      </c>
      <c r="H18" s="145">
        <v>3.4</v>
      </c>
      <c r="I18" s="145">
        <v>3.42</v>
      </c>
      <c r="J18" s="145">
        <v>3.42</v>
      </c>
      <c r="K18" s="145">
        <v>147</v>
      </c>
      <c r="L18" s="145">
        <v>145.82</v>
      </c>
      <c r="M18" s="145">
        <v>145.43</v>
      </c>
      <c r="N18" s="155">
        <v>152.38999999999999</v>
      </c>
      <c r="O18" s="155">
        <v>154.18</v>
      </c>
      <c r="P18" s="155">
        <v>153.29</v>
      </c>
      <c r="Q18" s="151">
        <v>0.16120218579234971</v>
      </c>
      <c r="R18" s="151">
        <v>0.1417910447761194</v>
      </c>
      <c r="S18" s="151">
        <v>0.13488372093023257</v>
      </c>
      <c r="T18" s="140">
        <v>0.86580000000000001</v>
      </c>
      <c r="U18" s="140">
        <v>1.34E-2</v>
      </c>
      <c r="V18" s="155">
        <v>15</v>
      </c>
      <c r="W18" s="140">
        <v>0</v>
      </c>
      <c r="X18" s="140">
        <v>0</v>
      </c>
      <c r="Y18" s="155">
        <v>2</v>
      </c>
      <c r="Z18" s="140">
        <f>Y18/'Master''s (1 yr)'!E19</f>
        <v>2.0618556701030927E-2</v>
      </c>
    </row>
    <row r="19" spans="1:26" x14ac:dyDescent="0.25">
      <c r="A19" s="154" t="s">
        <v>110</v>
      </c>
      <c r="B19" s="154" t="s">
        <v>64</v>
      </c>
      <c r="C19" s="149">
        <v>217</v>
      </c>
      <c r="D19" s="149">
        <v>341</v>
      </c>
      <c r="E19" s="148">
        <v>28.4</v>
      </c>
      <c r="F19" s="148">
        <v>13.8</v>
      </c>
      <c r="G19" s="148">
        <v>6.2</v>
      </c>
      <c r="H19" s="145">
        <v>3.55</v>
      </c>
      <c r="I19" s="145">
        <v>3.7</v>
      </c>
      <c r="J19" s="145">
        <v>3.61</v>
      </c>
      <c r="K19" s="145">
        <v>146.58000000000001</v>
      </c>
      <c r="L19" s="145">
        <v>146.69</v>
      </c>
      <c r="M19" s="145">
        <v>145.24</v>
      </c>
      <c r="N19" s="152">
        <v>154.56349206349208</v>
      </c>
      <c r="O19" s="145">
        <v>156.38461538461539</v>
      </c>
      <c r="P19" s="145">
        <v>155.3235294117647</v>
      </c>
      <c r="Q19" s="151">
        <v>0.20422535211267609</v>
      </c>
      <c r="R19" s="151">
        <v>0.13043478260869565</v>
      </c>
      <c r="S19" s="151">
        <v>0.19354838709677419</v>
      </c>
      <c r="T19" s="140">
        <v>0.91839999999999999</v>
      </c>
      <c r="U19" s="140">
        <v>2.0400000000000001E-2</v>
      </c>
      <c r="V19" s="155">
        <v>3</v>
      </c>
      <c r="W19" s="140">
        <v>0</v>
      </c>
      <c r="X19" s="140">
        <v>0</v>
      </c>
      <c r="Y19" s="155">
        <v>10</v>
      </c>
      <c r="Z19" s="140">
        <f>Y19/'Master''s (1 yr)'!E20</f>
        <v>0.90909090909090906</v>
      </c>
    </row>
    <row r="20" spans="1:26" x14ac:dyDescent="0.25">
      <c r="A20" s="154" t="s">
        <v>288</v>
      </c>
      <c r="B20" s="154" t="s">
        <v>238</v>
      </c>
      <c r="C20" s="149">
        <v>222</v>
      </c>
      <c r="D20" s="149">
        <v>342</v>
      </c>
      <c r="E20" s="148">
        <v>3.2</v>
      </c>
      <c r="F20" s="148">
        <v>0.4</v>
      </c>
      <c r="G20" s="148">
        <v>0.2</v>
      </c>
      <c r="H20" s="145">
        <v>3.23</v>
      </c>
      <c r="I20" s="145">
        <v>3.6</v>
      </c>
      <c r="J20" s="158"/>
      <c r="K20" s="145">
        <v>157.07</v>
      </c>
      <c r="L20" s="145">
        <v>159.5</v>
      </c>
      <c r="M20" s="145">
        <v>158</v>
      </c>
      <c r="N20" s="152">
        <v>150.57142857142858</v>
      </c>
      <c r="O20" s="145">
        <v>145.5</v>
      </c>
      <c r="P20" s="145">
        <v>134</v>
      </c>
      <c r="Q20" s="151">
        <v>6.25E-2</v>
      </c>
      <c r="R20" s="151">
        <v>0</v>
      </c>
      <c r="S20" s="151">
        <v>0</v>
      </c>
      <c r="T20" s="140">
        <v>0.55559999999999998</v>
      </c>
      <c r="U20" s="140">
        <v>0.61109999999999998</v>
      </c>
      <c r="V20" s="155">
        <v>1</v>
      </c>
      <c r="W20" s="140">
        <f>(0-0)/2</f>
        <v>0</v>
      </c>
      <c r="X20" s="140">
        <f>2/2</f>
        <v>1</v>
      </c>
      <c r="Y20" s="155">
        <v>0</v>
      </c>
      <c r="Z20" s="140">
        <f>Y20/'Master''s (1 yr)'!E21</f>
        <v>0</v>
      </c>
    </row>
    <row r="21" spans="1:26" x14ac:dyDescent="0.25">
      <c r="A21" s="154" t="s">
        <v>290</v>
      </c>
      <c r="B21" s="154" t="s">
        <v>238</v>
      </c>
      <c r="C21" s="149">
        <v>223</v>
      </c>
      <c r="D21" s="149">
        <v>344</v>
      </c>
      <c r="E21" s="148">
        <v>11.4</v>
      </c>
      <c r="F21" s="148">
        <v>0.4</v>
      </c>
      <c r="G21" s="148">
        <v>0.4</v>
      </c>
      <c r="H21" s="145">
        <v>3.17</v>
      </c>
      <c r="I21" s="145">
        <v>3.25</v>
      </c>
      <c r="J21" s="145">
        <v>3.25</v>
      </c>
      <c r="K21" s="145">
        <v>156.80000000000001</v>
      </c>
      <c r="L21" s="145">
        <v>157</v>
      </c>
      <c r="M21" s="145">
        <v>156.33000000000001</v>
      </c>
      <c r="N21" s="152">
        <v>151.32499999999999</v>
      </c>
      <c r="O21" s="145">
        <v>158.5</v>
      </c>
      <c r="P21" s="145">
        <v>158.66666666666666</v>
      </c>
      <c r="Q21" s="151">
        <v>8.771929824561403E-2</v>
      </c>
      <c r="R21" s="151">
        <v>0.5</v>
      </c>
      <c r="S21" s="151">
        <v>0.5</v>
      </c>
      <c r="T21" s="140">
        <v>1</v>
      </c>
      <c r="U21" s="140">
        <v>0</v>
      </c>
      <c r="V21" s="155">
        <v>0</v>
      </c>
      <c r="W21" s="140">
        <v>0</v>
      </c>
      <c r="X21" s="140">
        <v>0</v>
      </c>
      <c r="Y21" s="155">
        <v>0</v>
      </c>
      <c r="Z21" s="140">
        <v>0</v>
      </c>
    </row>
    <row r="22" spans="1:26" x14ac:dyDescent="0.25">
      <c r="A22" s="154" t="s">
        <v>178</v>
      </c>
      <c r="B22" s="154" t="s">
        <v>159</v>
      </c>
      <c r="C22" s="149">
        <v>216</v>
      </c>
      <c r="D22" s="149">
        <v>345</v>
      </c>
      <c r="E22" s="148">
        <v>112.4</v>
      </c>
      <c r="F22" s="148">
        <v>48.2</v>
      </c>
      <c r="G22" s="148">
        <v>21.2</v>
      </c>
      <c r="H22" s="145">
        <v>3.34</v>
      </c>
      <c r="I22" s="145">
        <v>3.45</v>
      </c>
      <c r="J22" s="145">
        <v>3.41</v>
      </c>
      <c r="K22" s="145">
        <v>159.58000000000001</v>
      </c>
      <c r="L22" s="145">
        <v>161.1</v>
      </c>
      <c r="M22" s="145">
        <v>160.32</v>
      </c>
      <c r="N22" s="152">
        <v>153.56521739130434</v>
      </c>
      <c r="O22" s="145">
        <v>157.20920502092051</v>
      </c>
      <c r="P22" s="145">
        <v>156.91509433962264</v>
      </c>
      <c r="Q22" s="151">
        <v>6.4056939501779361E-2</v>
      </c>
      <c r="R22" s="151">
        <v>8.7136929460580909E-2</v>
      </c>
      <c r="S22" s="151">
        <v>7.5471698113207544E-2</v>
      </c>
      <c r="T22" s="140">
        <v>0.4</v>
      </c>
      <c r="U22" s="140">
        <v>0</v>
      </c>
      <c r="V22" s="155">
        <v>0</v>
      </c>
      <c r="W22" s="140">
        <f>(0-0)/2</f>
        <v>0</v>
      </c>
      <c r="X22" s="140">
        <f>2/2</f>
        <v>1</v>
      </c>
      <c r="Y22" s="155">
        <v>0</v>
      </c>
      <c r="Z22" s="140">
        <f>Y22/'Master''s (1 yr)'!E23</f>
        <v>0</v>
      </c>
    </row>
    <row r="23" spans="1:26" x14ac:dyDescent="0.25">
      <c r="A23" s="154" t="s">
        <v>178</v>
      </c>
      <c r="B23" s="154" t="s">
        <v>238</v>
      </c>
      <c r="C23" s="149">
        <v>216</v>
      </c>
      <c r="D23" s="149">
        <v>345</v>
      </c>
      <c r="E23" s="148">
        <v>112.4</v>
      </c>
      <c r="F23" s="148">
        <v>48.2</v>
      </c>
      <c r="G23" s="148">
        <v>21.2</v>
      </c>
      <c r="H23" s="145">
        <v>3.34</v>
      </c>
      <c r="I23" s="145">
        <v>3.45</v>
      </c>
      <c r="J23" s="145">
        <v>3.41</v>
      </c>
      <c r="K23" s="145">
        <v>159.58000000000001</v>
      </c>
      <c r="L23" s="145">
        <v>161.1</v>
      </c>
      <c r="M23" s="145">
        <v>160.32</v>
      </c>
      <c r="N23" s="152">
        <v>153.56521739130434</v>
      </c>
      <c r="O23" s="145">
        <v>157.20920502092051</v>
      </c>
      <c r="P23" s="145">
        <v>156.91509433962264</v>
      </c>
      <c r="Q23" s="151">
        <v>6.4056939501779361E-2</v>
      </c>
      <c r="R23" s="151">
        <v>8.7136929460580909E-2</v>
      </c>
      <c r="S23" s="151">
        <v>7.5471698113207544E-2</v>
      </c>
      <c r="T23" s="140">
        <v>0.38690000000000002</v>
      </c>
      <c r="U23" s="140">
        <v>0.40479999999999999</v>
      </c>
      <c r="V23" s="155">
        <v>7</v>
      </c>
      <c r="W23" s="140">
        <v>0</v>
      </c>
      <c r="X23" s="140">
        <v>0</v>
      </c>
      <c r="Y23" s="155">
        <v>6</v>
      </c>
      <c r="Z23" s="140">
        <f>Y23/'Master''s (1 yr)'!E24</f>
        <v>0.10526315789473684</v>
      </c>
    </row>
    <row r="24" spans="1:26" x14ac:dyDescent="0.25">
      <c r="A24" s="154" t="s">
        <v>292</v>
      </c>
      <c r="B24" s="154" t="s">
        <v>238</v>
      </c>
      <c r="C24" s="149">
        <v>211</v>
      </c>
      <c r="D24" s="149">
        <v>346</v>
      </c>
      <c r="E24" s="45">
        <v>1</v>
      </c>
      <c r="F24" s="44">
        <v>0</v>
      </c>
      <c r="G24" s="134">
        <v>0</v>
      </c>
      <c r="H24" s="145">
        <v>3.2</v>
      </c>
      <c r="I24" s="145"/>
      <c r="J24" s="145"/>
      <c r="K24" s="145">
        <v>149</v>
      </c>
      <c r="L24" s="145"/>
      <c r="M24" s="145"/>
      <c r="N24" s="152">
        <v>153.5</v>
      </c>
      <c r="O24" s="145"/>
      <c r="P24" s="145"/>
      <c r="Q24" s="151">
        <v>0</v>
      </c>
      <c r="R24" s="151">
        <v>0</v>
      </c>
      <c r="S24" s="151">
        <v>0</v>
      </c>
      <c r="T24" s="140">
        <v>0</v>
      </c>
      <c r="U24" s="140">
        <v>0</v>
      </c>
      <c r="V24" s="155">
        <v>0</v>
      </c>
      <c r="W24" s="140">
        <v>0</v>
      </c>
      <c r="X24" s="140">
        <v>0</v>
      </c>
      <c r="Y24" s="155">
        <v>0</v>
      </c>
      <c r="Z24" s="140">
        <v>0</v>
      </c>
    </row>
    <row r="25" spans="1:26" x14ac:dyDescent="0.25">
      <c r="A25" s="154" t="s">
        <v>292</v>
      </c>
      <c r="B25" s="154" t="s">
        <v>238</v>
      </c>
      <c r="C25" s="149">
        <v>222</v>
      </c>
      <c r="D25" s="149">
        <v>346</v>
      </c>
      <c r="E25" s="45">
        <v>7</v>
      </c>
      <c r="F25" s="44">
        <v>1.6</v>
      </c>
      <c r="G25" s="134">
        <v>1.2</v>
      </c>
      <c r="H25" s="145">
        <v>3.46</v>
      </c>
      <c r="I25" s="145">
        <v>3.4</v>
      </c>
      <c r="J25" s="145">
        <v>3.2</v>
      </c>
      <c r="K25" s="145">
        <v>153.69</v>
      </c>
      <c r="L25" s="145">
        <v>151.63</v>
      </c>
      <c r="M25" s="145">
        <v>151.33000000000001</v>
      </c>
      <c r="N25" s="152">
        <v>153.21875</v>
      </c>
      <c r="O25" s="145">
        <v>149.25</v>
      </c>
      <c r="P25" s="145">
        <v>146.66666666666666</v>
      </c>
      <c r="Q25" s="151">
        <v>8.5714285714285715E-2</v>
      </c>
      <c r="R25" s="151">
        <v>0.125</v>
      </c>
      <c r="S25" s="151">
        <v>0.16666666666666663</v>
      </c>
      <c r="T25" s="140">
        <v>0.36359999999999998</v>
      </c>
      <c r="U25" s="140">
        <v>0.18179999999999999</v>
      </c>
      <c r="V25" s="155">
        <v>0</v>
      </c>
      <c r="W25" s="140">
        <f>(0-0)/1</f>
        <v>0</v>
      </c>
      <c r="X25" s="140">
        <f>1/1</f>
        <v>1</v>
      </c>
      <c r="Y25" s="155">
        <v>4</v>
      </c>
      <c r="Z25" s="140">
        <f>Y25/'Master''s (1 yr)'!E26</f>
        <v>1</v>
      </c>
    </row>
    <row r="26" spans="1:26" x14ac:dyDescent="0.25">
      <c r="A26" s="154" t="s">
        <v>150</v>
      </c>
      <c r="B26" s="154" t="s">
        <v>450</v>
      </c>
      <c r="C26" s="149">
        <v>214</v>
      </c>
      <c r="D26" s="149">
        <v>347</v>
      </c>
      <c r="E26" s="148">
        <v>108.2</v>
      </c>
      <c r="F26" s="148">
        <v>84.2</v>
      </c>
      <c r="G26" s="148">
        <v>46.4</v>
      </c>
      <c r="H26" s="145">
        <v>3.27</v>
      </c>
      <c r="I26" s="145">
        <v>3.3</v>
      </c>
      <c r="J26" s="145">
        <v>3.28</v>
      </c>
      <c r="K26" s="145">
        <v>154.75</v>
      </c>
      <c r="L26" s="145">
        <v>155.61000000000001</v>
      </c>
      <c r="M26" s="145">
        <v>152.69</v>
      </c>
      <c r="N26" s="152">
        <v>149.89754098360655</v>
      </c>
      <c r="O26" s="145">
        <v>150.82725060827249</v>
      </c>
      <c r="P26" s="145">
        <v>150.4094827586207</v>
      </c>
      <c r="Q26" s="151">
        <v>0.10536044362292053</v>
      </c>
      <c r="R26" s="151">
        <v>9.9762470308788598E-2</v>
      </c>
      <c r="S26" s="151">
        <v>0.14224137931034483</v>
      </c>
      <c r="T26" s="140">
        <v>0.44</v>
      </c>
      <c r="U26" s="140">
        <v>0.30669999999999997</v>
      </c>
      <c r="V26" s="155">
        <v>3</v>
      </c>
      <c r="W26" s="140">
        <f>(1-0)/16</f>
        <v>6.25E-2</v>
      </c>
      <c r="X26" s="140">
        <f>15/16</f>
        <v>0.9375</v>
      </c>
      <c r="Y26" s="155">
        <v>3</v>
      </c>
      <c r="Z26" s="140">
        <f>Y26/'Master''s (1 yr)'!E27</f>
        <v>0.15</v>
      </c>
    </row>
    <row r="27" spans="1:26" x14ac:dyDescent="0.25">
      <c r="A27" s="154" t="s">
        <v>42</v>
      </c>
      <c r="B27" s="154" t="s">
        <v>64</v>
      </c>
      <c r="C27" s="149">
        <v>212</v>
      </c>
      <c r="D27" s="149">
        <v>348</v>
      </c>
      <c r="E27" s="148">
        <v>1011.2</v>
      </c>
      <c r="F27" s="148">
        <v>556.20000000000005</v>
      </c>
      <c r="G27" s="148">
        <v>455.8</v>
      </c>
      <c r="H27" s="145">
        <v>3.26</v>
      </c>
      <c r="I27" s="145">
        <v>3.3</v>
      </c>
      <c r="J27" s="145">
        <v>3.29</v>
      </c>
      <c r="K27" s="145">
        <v>150.96</v>
      </c>
      <c r="L27" s="145">
        <v>152.79</v>
      </c>
      <c r="M27" s="145">
        <v>152.49</v>
      </c>
      <c r="N27" s="152">
        <v>151.42446043165467</v>
      </c>
      <c r="O27" s="145">
        <v>153.2093023255814</v>
      </c>
      <c r="P27" s="145">
        <v>152.71428571428572</v>
      </c>
      <c r="Q27" s="151">
        <v>0.16772151898734181</v>
      </c>
      <c r="R27" s="151">
        <v>0.14311398777418194</v>
      </c>
      <c r="S27" s="151">
        <v>0.15489249670908292</v>
      </c>
      <c r="T27" s="140">
        <v>0.375</v>
      </c>
      <c r="U27" s="140">
        <v>0</v>
      </c>
      <c r="V27" s="155">
        <v>0</v>
      </c>
      <c r="W27" s="140">
        <f>(0-0)/14</f>
        <v>0</v>
      </c>
      <c r="X27" s="140">
        <f>14/14</f>
        <v>1</v>
      </c>
      <c r="Y27" s="155">
        <v>0</v>
      </c>
      <c r="Z27" s="140">
        <f>Y27/'Master''s (1 yr)'!E28</f>
        <v>0</v>
      </c>
    </row>
    <row r="28" spans="1:26" x14ac:dyDescent="0.25">
      <c r="A28" s="154" t="s">
        <v>42</v>
      </c>
      <c r="B28" s="154" t="s">
        <v>238</v>
      </c>
      <c r="C28" s="149">
        <v>212</v>
      </c>
      <c r="D28" s="149">
        <v>348</v>
      </c>
      <c r="E28" s="148">
        <v>1011.2</v>
      </c>
      <c r="F28" s="148">
        <v>556.20000000000005</v>
      </c>
      <c r="G28" s="148">
        <v>455.8</v>
      </c>
      <c r="H28" s="145">
        <v>3.26</v>
      </c>
      <c r="I28" s="145">
        <v>3.3</v>
      </c>
      <c r="J28" s="145">
        <v>3.29</v>
      </c>
      <c r="K28" s="145">
        <v>150.96</v>
      </c>
      <c r="L28" s="145">
        <v>152.79</v>
      </c>
      <c r="M28" s="145">
        <v>152.49</v>
      </c>
      <c r="N28" s="152">
        <v>151.42446043165467</v>
      </c>
      <c r="O28" s="145">
        <v>153.2093023255814</v>
      </c>
      <c r="P28" s="145">
        <v>152.71428571428572</v>
      </c>
      <c r="Q28" s="151">
        <v>0.16772151898734181</v>
      </c>
      <c r="R28" s="151">
        <v>0.14311398777418194</v>
      </c>
      <c r="S28" s="151">
        <v>0.15489249670908292</v>
      </c>
      <c r="T28" s="140">
        <v>0.75</v>
      </c>
      <c r="U28" s="140">
        <v>0.5</v>
      </c>
      <c r="V28" s="155">
        <v>0</v>
      </c>
      <c r="W28" s="140">
        <f>(2-0)/17</f>
        <v>0.11764705882352941</v>
      </c>
      <c r="X28" s="140">
        <f>15/17</f>
        <v>0.88235294117647056</v>
      </c>
      <c r="Y28" s="155">
        <v>0</v>
      </c>
      <c r="Z28" s="140">
        <f>Y28/'Master''s (1 yr)'!E29</f>
        <v>0</v>
      </c>
    </row>
    <row r="29" spans="1:26" x14ac:dyDescent="0.25">
      <c r="A29" s="154" t="s">
        <v>40</v>
      </c>
      <c r="B29" s="154" t="s">
        <v>159</v>
      </c>
      <c r="C29" s="149">
        <v>216</v>
      </c>
      <c r="D29" s="149">
        <v>349</v>
      </c>
      <c r="E29" s="148">
        <v>179.2</v>
      </c>
      <c r="F29" s="148">
        <v>98.2</v>
      </c>
      <c r="G29" s="148">
        <v>49.4</v>
      </c>
      <c r="H29" s="145">
        <v>3.36</v>
      </c>
      <c r="I29" s="145">
        <v>3.42</v>
      </c>
      <c r="J29" s="145">
        <v>3.35</v>
      </c>
      <c r="K29" s="145">
        <v>161.99</v>
      </c>
      <c r="L29" s="145">
        <v>162.83000000000001</v>
      </c>
      <c r="M29" s="145">
        <v>162.38</v>
      </c>
      <c r="N29" s="152">
        <v>151.66990291262135</v>
      </c>
      <c r="O29" s="145">
        <v>152.27160493827159</v>
      </c>
      <c r="P29" s="145">
        <v>151.23387096774192</v>
      </c>
      <c r="Q29" s="151">
        <v>2.12E-2</v>
      </c>
      <c r="R29" s="151">
        <v>1.43E-2</v>
      </c>
      <c r="S29" s="151">
        <v>1.21E-2</v>
      </c>
      <c r="T29" s="153">
        <v>0.37290000000000001</v>
      </c>
      <c r="U29" s="140">
        <v>0.87290000000000001</v>
      </c>
      <c r="V29" s="155">
        <v>2</v>
      </c>
      <c r="W29" s="140">
        <f>(0-0)/4</f>
        <v>0</v>
      </c>
      <c r="X29" s="140">
        <f>4/4</f>
        <v>1</v>
      </c>
      <c r="Y29" s="155">
        <v>0</v>
      </c>
      <c r="Z29" s="140">
        <f>Y29/'Master''s (1 yr)'!E30</f>
        <v>0</v>
      </c>
    </row>
    <row r="30" spans="1:26" x14ac:dyDescent="0.25">
      <c r="A30" s="154" t="s">
        <v>40</v>
      </c>
      <c r="B30" s="154" t="s">
        <v>238</v>
      </c>
      <c r="C30" s="149">
        <v>216</v>
      </c>
      <c r="D30" s="149">
        <v>349</v>
      </c>
      <c r="E30" s="148">
        <v>179.2</v>
      </c>
      <c r="F30" s="148">
        <v>98.2</v>
      </c>
      <c r="G30" s="148">
        <v>49.4</v>
      </c>
      <c r="H30" s="145">
        <v>3.36</v>
      </c>
      <c r="I30" s="145">
        <v>3.42</v>
      </c>
      <c r="J30" s="145">
        <v>3.35</v>
      </c>
      <c r="K30" s="145">
        <v>161.99</v>
      </c>
      <c r="L30" s="145">
        <v>162.83000000000001</v>
      </c>
      <c r="M30" s="145">
        <v>162.38</v>
      </c>
      <c r="N30" s="152">
        <v>151.66990291262135</v>
      </c>
      <c r="O30" s="145">
        <v>152.27160493827159</v>
      </c>
      <c r="P30" s="145">
        <v>151.23387096774192</v>
      </c>
      <c r="Q30" s="151">
        <v>2.12E-2</v>
      </c>
      <c r="R30" s="151">
        <v>1.43E-2</v>
      </c>
      <c r="S30" s="151">
        <v>1.21E-2</v>
      </c>
      <c r="T30" s="153">
        <v>0.3569</v>
      </c>
      <c r="U30" s="140">
        <v>0.90980000000000005</v>
      </c>
      <c r="V30" s="155">
        <v>3</v>
      </c>
      <c r="W30" s="140">
        <f>(0-0)/1</f>
        <v>0</v>
      </c>
      <c r="X30" s="140">
        <f>1/1</f>
        <v>1</v>
      </c>
      <c r="Y30" s="155">
        <v>0</v>
      </c>
      <c r="Z30" s="140">
        <f>Y30/'Master''s (1 yr)'!E31</f>
        <v>0</v>
      </c>
    </row>
    <row r="31" spans="1:26" x14ac:dyDescent="0.25">
      <c r="A31" s="154" t="s">
        <v>294</v>
      </c>
      <c r="B31" s="154" t="s">
        <v>238</v>
      </c>
      <c r="C31" s="149">
        <v>222</v>
      </c>
      <c r="D31" s="149">
        <v>350</v>
      </c>
      <c r="E31" s="148">
        <v>28</v>
      </c>
      <c r="F31" s="148">
        <v>0.8</v>
      </c>
      <c r="G31" s="148">
        <v>0.8</v>
      </c>
      <c r="H31" s="145">
        <v>3.12</v>
      </c>
      <c r="I31" s="145">
        <v>3.2</v>
      </c>
      <c r="J31" s="145">
        <v>3.2</v>
      </c>
      <c r="K31" s="145">
        <v>159.5</v>
      </c>
      <c r="L31" s="145">
        <v>160.5</v>
      </c>
      <c r="M31" s="145">
        <v>156.5</v>
      </c>
      <c r="N31" s="152">
        <v>151.07017543859649</v>
      </c>
      <c r="O31" s="145">
        <v>155.5</v>
      </c>
      <c r="P31" s="145">
        <v>154.16666666666666</v>
      </c>
      <c r="Q31" s="151">
        <v>4.2857142857142858E-2</v>
      </c>
      <c r="R31" s="151">
        <v>0</v>
      </c>
      <c r="S31" s="151">
        <v>0</v>
      </c>
      <c r="T31" s="153">
        <v>0.45710000000000001</v>
      </c>
      <c r="U31" s="140">
        <v>0.42859999999999998</v>
      </c>
      <c r="V31" s="155">
        <v>1</v>
      </c>
      <c r="W31" s="140">
        <f>(0-0)/2</f>
        <v>0</v>
      </c>
      <c r="X31" s="140">
        <f>2/2</f>
        <v>1</v>
      </c>
      <c r="Y31" s="155">
        <v>3</v>
      </c>
      <c r="Z31" s="140">
        <f>Y31/'Master''s (1 yr)'!E32</f>
        <v>0.1875</v>
      </c>
    </row>
    <row r="32" spans="1:26" x14ac:dyDescent="0.25">
      <c r="A32" s="154" t="s">
        <v>180</v>
      </c>
      <c r="B32" s="154" t="s">
        <v>159</v>
      </c>
      <c r="C32" s="149">
        <v>216</v>
      </c>
      <c r="D32" s="149">
        <v>351</v>
      </c>
      <c r="E32" s="148">
        <v>341.4</v>
      </c>
      <c r="F32" s="148">
        <v>239.2</v>
      </c>
      <c r="G32" s="148">
        <v>115.6</v>
      </c>
      <c r="H32" s="145">
        <v>3.36</v>
      </c>
      <c r="I32" s="145">
        <v>3.4</v>
      </c>
      <c r="J32" s="145">
        <v>3.37</v>
      </c>
      <c r="K32" s="145">
        <v>159.47999999999999</v>
      </c>
      <c r="L32" s="145">
        <v>159.5</v>
      </c>
      <c r="M32" s="145">
        <v>157.82</v>
      </c>
      <c r="N32" s="152">
        <v>150.45326774420238</v>
      </c>
      <c r="O32" s="145">
        <v>151.47076023391813</v>
      </c>
      <c r="P32" s="145">
        <v>150.68539325842696</v>
      </c>
      <c r="Q32" s="151">
        <v>8.0843585237258347E-2</v>
      </c>
      <c r="R32" s="151">
        <v>8.4448160535117042E-2</v>
      </c>
      <c r="S32" s="151">
        <v>0.12110726643598616</v>
      </c>
      <c r="T32" s="153">
        <v>0.1424</v>
      </c>
      <c r="U32" s="140">
        <v>0.106</v>
      </c>
      <c r="V32" s="155">
        <v>20</v>
      </c>
      <c r="W32" s="140">
        <f>(2-0)/30</f>
        <v>6.6666666666666666E-2</v>
      </c>
      <c r="X32" s="140">
        <f>28/30</f>
        <v>0.93333333333333335</v>
      </c>
      <c r="Y32" s="155">
        <v>5</v>
      </c>
      <c r="Z32" s="140">
        <f>Y32/'Master''s (1 yr)'!E33</f>
        <v>5.6179775280898875E-2</v>
      </c>
    </row>
    <row r="33" spans="1:26" x14ac:dyDescent="0.25">
      <c r="A33" s="154" t="s">
        <v>180</v>
      </c>
      <c r="B33" s="154" t="s">
        <v>238</v>
      </c>
      <c r="C33" s="149">
        <v>216</v>
      </c>
      <c r="D33" s="149">
        <v>351</v>
      </c>
      <c r="E33" s="148">
        <v>341.4</v>
      </c>
      <c r="F33" s="148">
        <v>239.2</v>
      </c>
      <c r="G33" s="148">
        <v>115.6</v>
      </c>
      <c r="H33" s="145">
        <v>3.36</v>
      </c>
      <c r="I33" s="145">
        <v>3.4</v>
      </c>
      <c r="J33" s="145">
        <v>3.37</v>
      </c>
      <c r="K33" s="145">
        <v>159.47999999999999</v>
      </c>
      <c r="L33" s="145">
        <v>159.5</v>
      </c>
      <c r="M33" s="145">
        <v>157.82</v>
      </c>
      <c r="N33" s="152">
        <v>150.45326774420238</v>
      </c>
      <c r="O33" s="145">
        <v>151.47076023391813</v>
      </c>
      <c r="P33" s="145">
        <v>150.68539325842696</v>
      </c>
      <c r="Q33" s="151">
        <v>8.0843585237258347E-2</v>
      </c>
      <c r="R33" s="151">
        <v>8.4448160535117042E-2</v>
      </c>
      <c r="S33" s="151">
        <v>0.12110726643598616</v>
      </c>
      <c r="T33" s="153">
        <v>0.254</v>
      </c>
      <c r="U33" s="140">
        <v>0.6905</v>
      </c>
      <c r="V33" s="155">
        <v>6</v>
      </c>
      <c r="W33" s="140">
        <f>(1-0)/9</f>
        <v>0.1111111111111111</v>
      </c>
      <c r="X33" s="140">
        <f>8/9</f>
        <v>0.88888888888888884</v>
      </c>
      <c r="Y33" s="155">
        <v>10</v>
      </c>
      <c r="Z33" s="140">
        <f>Y33/'Master''s (1 yr)'!E34</f>
        <v>0.10752688172043011</v>
      </c>
    </row>
    <row r="34" spans="1:26" x14ac:dyDescent="0.25">
      <c r="A34" s="154" t="s">
        <v>63</v>
      </c>
      <c r="B34" s="154" t="s">
        <v>64</v>
      </c>
      <c r="C34" s="149">
        <v>222</v>
      </c>
      <c r="D34" s="149">
        <v>41</v>
      </c>
      <c r="E34" s="148">
        <v>17.399999999999999</v>
      </c>
      <c r="F34" s="148">
        <v>9.4</v>
      </c>
      <c r="G34" s="148">
        <v>5</v>
      </c>
      <c r="H34" s="145">
        <v>3.53</v>
      </c>
      <c r="I34" s="145">
        <v>3.65</v>
      </c>
      <c r="J34" s="145">
        <v>3.59</v>
      </c>
      <c r="K34" s="145">
        <v>150.57</v>
      </c>
      <c r="L34" s="145">
        <v>151.85</v>
      </c>
      <c r="M34" s="145">
        <v>149.62</v>
      </c>
      <c r="N34" s="152">
        <v>159.47674418604652</v>
      </c>
      <c r="O34" s="145">
        <v>161.08695652173913</v>
      </c>
      <c r="P34" s="145">
        <v>161.44827586206895</v>
      </c>
      <c r="Q34" s="151">
        <v>2.2988505747126436E-2</v>
      </c>
      <c r="R34" s="151">
        <v>0</v>
      </c>
      <c r="S34" s="151">
        <v>0</v>
      </c>
      <c r="T34" s="153">
        <v>0.47060000000000002</v>
      </c>
      <c r="U34" s="140">
        <v>0</v>
      </c>
      <c r="V34" s="155">
        <v>0</v>
      </c>
      <c r="W34" s="140">
        <v>0</v>
      </c>
      <c r="X34" s="140">
        <v>0</v>
      </c>
      <c r="Y34" s="155">
        <v>5</v>
      </c>
      <c r="Z34" s="140">
        <f>Y34/'Master''s (1 yr)'!E35</f>
        <v>1</v>
      </c>
    </row>
    <row r="35" spans="1:26" x14ac:dyDescent="0.25">
      <c r="A35" s="154" t="s">
        <v>158</v>
      </c>
      <c r="B35" s="154" t="s">
        <v>159</v>
      </c>
      <c r="C35" s="149">
        <v>216</v>
      </c>
      <c r="D35" s="149">
        <v>42</v>
      </c>
      <c r="E35" s="148">
        <v>26.2</v>
      </c>
      <c r="F35" s="148">
        <v>19</v>
      </c>
      <c r="G35" s="148">
        <v>9.1999999999999993</v>
      </c>
      <c r="H35" s="145">
        <v>3.31</v>
      </c>
      <c r="I35" s="145">
        <v>3.34</v>
      </c>
      <c r="J35" s="145">
        <v>3.4</v>
      </c>
      <c r="K35" s="145">
        <v>159.94999999999999</v>
      </c>
      <c r="L35" s="145">
        <v>160.54</v>
      </c>
      <c r="M35" s="145">
        <v>159.43</v>
      </c>
      <c r="N35" s="152">
        <v>151.05833333333334</v>
      </c>
      <c r="O35" s="145">
        <v>151.76404494382024</v>
      </c>
      <c r="P35" s="145">
        <v>150.52500000000001</v>
      </c>
      <c r="Q35" s="151">
        <v>3.8167938931297711E-2</v>
      </c>
      <c r="R35" s="151">
        <v>2.1052631578947368E-2</v>
      </c>
      <c r="S35" s="151">
        <v>0</v>
      </c>
      <c r="T35" s="153">
        <v>0.16669999999999999</v>
      </c>
      <c r="U35" s="140">
        <v>0.33329999999999999</v>
      </c>
      <c r="V35" s="155">
        <v>0</v>
      </c>
      <c r="W35" s="140">
        <v>0</v>
      </c>
      <c r="X35" s="140">
        <v>0</v>
      </c>
      <c r="Y35" s="155">
        <v>0</v>
      </c>
      <c r="Z35" s="140">
        <f>Y35/'Master''s (1 yr)'!E36</f>
        <v>0</v>
      </c>
    </row>
    <row r="36" spans="1:26" x14ac:dyDescent="0.25">
      <c r="A36" s="154" t="s">
        <v>158</v>
      </c>
      <c r="B36" s="154" t="s">
        <v>238</v>
      </c>
      <c r="C36" s="149">
        <v>216</v>
      </c>
      <c r="D36" s="149">
        <v>42</v>
      </c>
      <c r="E36" s="148">
        <v>26.2</v>
      </c>
      <c r="F36" s="148">
        <v>19</v>
      </c>
      <c r="G36" s="148">
        <v>9.1999999999999993</v>
      </c>
      <c r="H36" s="145">
        <v>3.31</v>
      </c>
      <c r="I36" s="145">
        <v>3.34</v>
      </c>
      <c r="J36" s="145">
        <v>3.4</v>
      </c>
      <c r="K36" s="145">
        <v>159.94999999999999</v>
      </c>
      <c r="L36" s="145">
        <v>160.54</v>
      </c>
      <c r="M36" s="145">
        <v>159.43</v>
      </c>
      <c r="N36" s="152">
        <v>151.05833333333334</v>
      </c>
      <c r="O36" s="145">
        <v>151.76404494382024</v>
      </c>
      <c r="P36" s="145">
        <v>150.52500000000001</v>
      </c>
      <c r="Q36" s="151">
        <v>3.8167938931297711E-2</v>
      </c>
      <c r="R36" s="151">
        <v>2.1052631578947368E-2</v>
      </c>
      <c r="S36" s="151">
        <v>0</v>
      </c>
      <c r="T36" s="153">
        <v>0.2581</v>
      </c>
      <c r="U36" s="140">
        <v>0.6774</v>
      </c>
      <c r="V36" s="155">
        <v>0</v>
      </c>
      <c r="W36" s="140">
        <v>0</v>
      </c>
      <c r="X36" s="140">
        <v>0</v>
      </c>
      <c r="Y36" s="155">
        <v>0</v>
      </c>
      <c r="Z36" s="140">
        <f>Y36/'Master''s (1 yr)'!E37</f>
        <v>0</v>
      </c>
    </row>
    <row r="37" spans="1:26" x14ac:dyDescent="0.25">
      <c r="A37" s="154" t="s">
        <v>119</v>
      </c>
      <c r="B37" s="154" t="s">
        <v>64</v>
      </c>
      <c r="C37" s="149">
        <v>219</v>
      </c>
      <c r="D37" s="149">
        <v>520</v>
      </c>
      <c r="E37" s="148">
        <v>233</v>
      </c>
      <c r="F37" s="148">
        <v>64.400000000000006</v>
      </c>
      <c r="G37" s="148">
        <v>30.4</v>
      </c>
      <c r="H37" s="145">
        <v>3.57</v>
      </c>
      <c r="I37" s="145">
        <v>3.82</v>
      </c>
      <c r="J37" s="145">
        <v>3.8</v>
      </c>
      <c r="K37" s="158">
        <v>147.57</v>
      </c>
      <c r="L37" s="158">
        <v>151.62</v>
      </c>
      <c r="M37" s="158">
        <v>150.16</v>
      </c>
      <c r="N37" s="152">
        <v>151.29302325581395</v>
      </c>
      <c r="O37" s="145">
        <v>155.48286604361371</v>
      </c>
      <c r="P37" s="145">
        <v>154.67088607594937</v>
      </c>
      <c r="Q37" s="151">
        <v>0.19828326180257508</v>
      </c>
      <c r="R37" s="151">
        <v>0.11490683229813664</v>
      </c>
      <c r="S37" s="151">
        <v>0.1118421052631579</v>
      </c>
      <c r="T37" s="153">
        <v>0.92630000000000001</v>
      </c>
      <c r="U37" s="140">
        <v>0</v>
      </c>
      <c r="V37" s="155">
        <v>7</v>
      </c>
      <c r="W37" s="140">
        <v>0</v>
      </c>
      <c r="X37" s="140">
        <v>0</v>
      </c>
      <c r="Y37" s="155">
        <v>5</v>
      </c>
      <c r="Z37" s="140">
        <f>Y37/'Master''s (1 yr)'!E38</f>
        <v>7.575757575757576E-2</v>
      </c>
    </row>
    <row r="38" spans="1:26" x14ac:dyDescent="0.25">
      <c r="A38" s="154" t="s">
        <v>162</v>
      </c>
      <c r="B38" s="154" t="s">
        <v>159</v>
      </c>
      <c r="C38" s="149">
        <v>216</v>
      </c>
      <c r="D38" s="149">
        <v>45</v>
      </c>
      <c r="E38" s="148">
        <v>538.6</v>
      </c>
      <c r="F38" s="148">
        <v>399.4</v>
      </c>
      <c r="G38" s="148">
        <v>161.80000000000001</v>
      </c>
      <c r="H38" s="158">
        <v>3.41</v>
      </c>
      <c r="I38" s="158">
        <v>3.47</v>
      </c>
      <c r="J38" s="158">
        <v>3.48</v>
      </c>
      <c r="K38" s="145">
        <v>162.49</v>
      </c>
      <c r="L38" s="145">
        <v>162.91</v>
      </c>
      <c r="M38" s="145">
        <v>162.29</v>
      </c>
      <c r="N38" s="152">
        <v>155.95036552520199</v>
      </c>
      <c r="O38" s="145">
        <v>156.6815670517328</v>
      </c>
      <c r="P38" s="145">
        <v>156.02466091245375</v>
      </c>
      <c r="Q38" s="151">
        <v>1.3367991088005942E-2</v>
      </c>
      <c r="R38" s="151">
        <v>9.0135202804206317E-3</v>
      </c>
      <c r="S38" s="151">
        <v>1.6069221260815822E-2</v>
      </c>
      <c r="T38" s="153">
        <v>0.1</v>
      </c>
      <c r="U38" s="140">
        <v>0.1</v>
      </c>
      <c r="V38" s="155">
        <v>0</v>
      </c>
      <c r="W38" s="140">
        <v>0</v>
      </c>
      <c r="X38" s="140">
        <v>0</v>
      </c>
      <c r="Y38" s="155">
        <v>0</v>
      </c>
      <c r="Z38" s="140">
        <f>Y38/'Master''s (1 yr)'!E39</f>
        <v>0</v>
      </c>
    </row>
    <row r="39" spans="1:26" x14ac:dyDescent="0.25">
      <c r="A39" s="154" t="s">
        <v>162</v>
      </c>
      <c r="B39" s="154" t="s">
        <v>238</v>
      </c>
      <c r="C39" s="149">
        <v>216</v>
      </c>
      <c r="D39" s="149">
        <v>45</v>
      </c>
      <c r="E39" s="148">
        <v>538.6</v>
      </c>
      <c r="F39" s="148">
        <v>399.4</v>
      </c>
      <c r="G39" s="148">
        <v>161.80000000000001</v>
      </c>
      <c r="H39" s="158">
        <v>3.41</v>
      </c>
      <c r="I39" s="158">
        <v>3.47</v>
      </c>
      <c r="J39" s="158">
        <v>3.48</v>
      </c>
      <c r="K39" s="145">
        <v>162.49</v>
      </c>
      <c r="L39" s="145">
        <v>162.91</v>
      </c>
      <c r="M39" s="145">
        <v>162.29</v>
      </c>
      <c r="N39" s="152">
        <v>155.95036552520199</v>
      </c>
      <c r="O39" s="145">
        <v>156.6815670517328</v>
      </c>
      <c r="P39" s="145">
        <v>156.02466091245375</v>
      </c>
      <c r="Q39" s="151">
        <v>1.3367991088005942E-2</v>
      </c>
      <c r="R39" s="151">
        <v>9.0135202804206317E-3</v>
      </c>
      <c r="S39" s="151">
        <v>1.6069221260815822E-2</v>
      </c>
      <c r="T39" s="153">
        <v>0.22620000000000001</v>
      </c>
      <c r="U39" s="140">
        <v>0.88800000000000001</v>
      </c>
      <c r="V39" s="155">
        <v>7</v>
      </c>
      <c r="W39" s="140">
        <f>(4-1)/11</f>
        <v>0.27272727272727271</v>
      </c>
      <c r="X39" s="140">
        <f>7/11</f>
        <v>0.63636363636363635</v>
      </c>
      <c r="Y39" s="155">
        <v>5</v>
      </c>
      <c r="Z39" s="140">
        <f>Y39/'Master''s (1 yr)'!E40</f>
        <v>1.8382352941176471E-2</v>
      </c>
    </row>
    <row r="40" spans="1:26" x14ac:dyDescent="0.25">
      <c r="A40" s="154" t="s">
        <v>240</v>
      </c>
      <c r="B40" s="154" t="s">
        <v>238</v>
      </c>
      <c r="C40" s="149">
        <v>222</v>
      </c>
      <c r="D40" s="149">
        <v>46</v>
      </c>
      <c r="E40" s="148">
        <v>920.8</v>
      </c>
      <c r="F40" s="148">
        <v>70</v>
      </c>
      <c r="G40" s="148">
        <v>15</v>
      </c>
      <c r="H40" s="158">
        <v>3.38</v>
      </c>
      <c r="I40" s="158">
        <v>3.47</v>
      </c>
      <c r="J40" s="158">
        <v>3.41</v>
      </c>
      <c r="K40" s="145">
        <v>161.24</v>
      </c>
      <c r="L40" s="145">
        <v>161.88</v>
      </c>
      <c r="M40" s="145">
        <v>158.9</v>
      </c>
      <c r="N40" s="152">
        <v>153.38025160218371</v>
      </c>
      <c r="O40" s="145">
        <v>154.1012987012987</v>
      </c>
      <c r="P40" s="145">
        <v>151.5625</v>
      </c>
      <c r="Q40" s="151">
        <v>6.0999999999999995E-3</v>
      </c>
      <c r="R40" s="151">
        <v>0.02</v>
      </c>
      <c r="S40" s="151">
        <v>6.6699999999999995E-2</v>
      </c>
      <c r="T40" s="153">
        <v>0.2329</v>
      </c>
      <c r="U40" s="140">
        <v>0.77400000000000002</v>
      </c>
      <c r="V40" s="155">
        <v>1</v>
      </c>
      <c r="W40" s="140">
        <f>(3-0)/3</f>
        <v>1</v>
      </c>
      <c r="X40" s="140">
        <f>0/3</f>
        <v>0</v>
      </c>
      <c r="Y40" s="155">
        <v>0</v>
      </c>
      <c r="Z40" s="140">
        <f>Y40/'Master''s (1 yr)'!E41</f>
        <v>0</v>
      </c>
    </row>
    <row r="41" spans="1:26" x14ac:dyDescent="0.25">
      <c r="A41" s="154" t="s">
        <v>115</v>
      </c>
      <c r="B41" s="154" t="s">
        <v>64</v>
      </c>
      <c r="C41" s="149">
        <v>222</v>
      </c>
      <c r="D41" s="149">
        <v>443</v>
      </c>
      <c r="E41" s="148">
        <v>25.8</v>
      </c>
      <c r="F41" s="148">
        <v>2.8</v>
      </c>
      <c r="G41" s="148">
        <v>2.8</v>
      </c>
      <c r="H41" s="145">
        <v>3.35</v>
      </c>
      <c r="I41" s="145">
        <v>3.56</v>
      </c>
      <c r="J41" s="145">
        <v>3.56</v>
      </c>
      <c r="K41" s="145">
        <v>148.36000000000001</v>
      </c>
      <c r="L41" s="145">
        <v>152.79</v>
      </c>
      <c r="M41" s="145">
        <v>152.79</v>
      </c>
      <c r="N41" s="152">
        <v>151.19999999999999</v>
      </c>
      <c r="O41" s="145">
        <v>157.14285714285714</v>
      </c>
      <c r="P41" s="145">
        <v>157.14285714285714</v>
      </c>
      <c r="Q41" s="151">
        <v>0.2868217054263566</v>
      </c>
      <c r="R41" s="151">
        <v>0.14285714285714285</v>
      </c>
      <c r="S41" s="151">
        <v>0.14285714285714285</v>
      </c>
      <c r="T41" s="153">
        <v>0.71879999999999999</v>
      </c>
      <c r="U41" s="140">
        <v>6.25E-2</v>
      </c>
      <c r="V41" s="155">
        <v>1</v>
      </c>
      <c r="W41" s="140">
        <f>(1-0)/2</f>
        <v>0.5</v>
      </c>
      <c r="X41" s="140">
        <f>1/2</f>
        <v>0.5</v>
      </c>
      <c r="Y41" s="155">
        <v>1</v>
      </c>
      <c r="Z41" s="140">
        <f>Y41/'Master''s (1 yr)'!E42</f>
        <v>0.1</v>
      </c>
    </row>
    <row r="42" spans="1:26" x14ac:dyDescent="0.25">
      <c r="A42" s="154" t="s">
        <v>26</v>
      </c>
      <c r="B42" s="154" t="s">
        <v>124</v>
      </c>
      <c r="C42" s="149">
        <v>215</v>
      </c>
      <c r="D42" s="149">
        <v>437</v>
      </c>
      <c r="E42" s="148">
        <v>247.4</v>
      </c>
      <c r="F42" s="148">
        <v>136.4</v>
      </c>
      <c r="G42" s="148">
        <v>110.6</v>
      </c>
      <c r="H42" s="145">
        <v>3.4</v>
      </c>
      <c r="I42" s="145">
        <v>3.45</v>
      </c>
      <c r="J42" s="145">
        <v>3.44</v>
      </c>
      <c r="K42" s="145">
        <v>145.61000000000001</v>
      </c>
      <c r="L42" s="145">
        <v>147.12</v>
      </c>
      <c r="M42" s="145">
        <v>145.4</v>
      </c>
      <c r="N42" s="152">
        <v>149.49395161290323</v>
      </c>
      <c r="O42" s="145">
        <v>151.33684210526314</v>
      </c>
      <c r="P42" s="145">
        <v>150.95493934142115</v>
      </c>
      <c r="Q42" s="151">
        <v>0.31366208569118836</v>
      </c>
      <c r="R42" s="151">
        <v>0.2404692082111437</v>
      </c>
      <c r="S42" s="151">
        <v>0.28390596745027125</v>
      </c>
      <c r="T42" s="153">
        <v>0.73080000000000001</v>
      </c>
      <c r="U42" s="140">
        <v>7.6899999999999996E-2</v>
      </c>
      <c r="V42" s="155">
        <v>2</v>
      </c>
      <c r="W42" s="140">
        <v>0</v>
      </c>
      <c r="X42" s="140">
        <v>0</v>
      </c>
      <c r="Y42" s="155">
        <v>0</v>
      </c>
      <c r="Z42" s="140">
        <f>Y42/'Master''s (1 yr)'!E43</f>
        <v>0</v>
      </c>
    </row>
    <row r="43" spans="1:26" x14ac:dyDescent="0.25">
      <c r="A43" s="154" t="s">
        <v>243</v>
      </c>
      <c r="B43" s="154" t="s">
        <v>238</v>
      </c>
      <c r="C43" s="149">
        <v>213</v>
      </c>
      <c r="D43" s="149">
        <v>50</v>
      </c>
      <c r="E43" s="148">
        <v>225.6</v>
      </c>
      <c r="F43" s="148">
        <v>13.6</v>
      </c>
      <c r="G43" s="148">
        <v>13</v>
      </c>
      <c r="H43" s="145">
        <v>3.56</v>
      </c>
      <c r="I43" s="145">
        <v>3.6</v>
      </c>
      <c r="J43" s="145">
        <v>3.6</v>
      </c>
      <c r="K43" s="145">
        <v>155.13999999999999</v>
      </c>
      <c r="L43" s="145">
        <v>154.58000000000001</v>
      </c>
      <c r="M43" s="145">
        <v>154.69</v>
      </c>
      <c r="N43" s="152">
        <v>155.24096385542168</v>
      </c>
      <c r="O43" s="145">
        <v>155.125</v>
      </c>
      <c r="P43" s="159">
        <v>154.48275862068965</v>
      </c>
      <c r="Q43" s="151">
        <v>0.11170212765957446</v>
      </c>
      <c r="R43" s="151">
        <v>0.10294117647058823</v>
      </c>
      <c r="S43" s="151">
        <v>0.1076923076923077</v>
      </c>
      <c r="T43" s="153">
        <v>0.33939999999999998</v>
      </c>
      <c r="U43" s="140">
        <v>1.83E-2</v>
      </c>
      <c r="V43" s="155">
        <v>9</v>
      </c>
      <c r="W43" s="140">
        <f>(0-0)/7</f>
        <v>0</v>
      </c>
      <c r="X43" s="140">
        <f>7/7</f>
        <v>1</v>
      </c>
      <c r="Y43" s="155">
        <v>0</v>
      </c>
      <c r="Z43" s="140">
        <f>Y43/'Master''s (1 yr)'!E44</f>
        <v>0</v>
      </c>
    </row>
    <row r="44" spans="1:26" x14ac:dyDescent="0.25">
      <c r="A44" s="154" t="s">
        <v>113</v>
      </c>
      <c r="B44" s="154" t="s">
        <v>64</v>
      </c>
      <c r="C44" s="149">
        <v>217</v>
      </c>
      <c r="D44" s="149">
        <v>440</v>
      </c>
      <c r="E44" s="148">
        <v>11.4</v>
      </c>
      <c r="F44" s="148">
        <v>7.2</v>
      </c>
      <c r="G44" s="148">
        <v>5.6</v>
      </c>
      <c r="H44" s="145">
        <v>3.19</v>
      </c>
      <c r="I44" s="145">
        <v>3.25</v>
      </c>
      <c r="J44" s="145">
        <v>3.23</v>
      </c>
      <c r="K44" s="145">
        <v>153.02000000000001</v>
      </c>
      <c r="L44" s="145">
        <v>150.74</v>
      </c>
      <c r="M44" s="145">
        <v>150.12</v>
      </c>
      <c r="N44" s="152">
        <v>152.59574468085106</v>
      </c>
      <c r="O44" s="145">
        <v>153.11764705882354</v>
      </c>
      <c r="P44" s="159">
        <v>153.35714285714286</v>
      </c>
      <c r="Q44" s="151">
        <v>0.22807017543859648</v>
      </c>
      <c r="R44" s="151">
        <v>0.27777777777777779</v>
      </c>
      <c r="S44" s="151">
        <v>0.28570000000000001</v>
      </c>
      <c r="T44" s="153">
        <v>0.38300000000000001</v>
      </c>
      <c r="U44" s="140">
        <v>0.1489</v>
      </c>
      <c r="V44" s="155">
        <v>4</v>
      </c>
      <c r="W44" s="140">
        <v>0</v>
      </c>
      <c r="X44" s="140">
        <v>0</v>
      </c>
      <c r="Y44" s="155">
        <v>6</v>
      </c>
      <c r="Z44" s="140">
        <f>Y44/'Master''s (1 yr)'!E45</f>
        <v>0.42857142857142855</v>
      </c>
    </row>
    <row r="45" spans="1:26" x14ac:dyDescent="0.25">
      <c r="A45" s="154" t="s">
        <v>245</v>
      </c>
      <c r="B45" s="154" t="s">
        <v>238</v>
      </c>
      <c r="C45" s="149">
        <v>216</v>
      </c>
      <c r="D45" s="149">
        <v>51</v>
      </c>
      <c r="E45" s="148">
        <v>23.4</v>
      </c>
      <c r="F45" s="148">
        <v>9.1999999999999993</v>
      </c>
      <c r="G45" s="148">
        <v>2.6</v>
      </c>
      <c r="H45" s="145">
        <v>3.66</v>
      </c>
      <c r="I45" s="145">
        <v>3.66</v>
      </c>
      <c r="J45" s="145">
        <v>3.3</v>
      </c>
      <c r="K45" s="145">
        <v>161.76</v>
      </c>
      <c r="L45" s="145">
        <v>162.65</v>
      </c>
      <c r="M45" s="145">
        <v>162.79</v>
      </c>
      <c r="N45" s="152">
        <v>153.73394495412845</v>
      </c>
      <c r="O45" s="145">
        <v>154.28260869565219</v>
      </c>
      <c r="P45" s="159">
        <v>155.64285714285714</v>
      </c>
      <c r="Q45" s="151">
        <v>8.5000000000000006E-3</v>
      </c>
      <c r="R45" s="151">
        <v>0</v>
      </c>
      <c r="S45" s="151">
        <v>0</v>
      </c>
      <c r="T45" s="153">
        <v>0.3</v>
      </c>
      <c r="U45" s="140">
        <v>0.8</v>
      </c>
      <c r="V45" s="155">
        <v>0</v>
      </c>
      <c r="W45" s="140">
        <v>0</v>
      </c>
      <c r="X45" s="140">
        <v>0</v>
      </c>
      <c r="Y45" s="155">
        <v>1</v>
      </c>
      <c r="Z45" s="140">
        <f>Y45/'Master''s (1 yr)'!E46</f>
        <v>0.25</v>
      </c>
    </row>
    <row r="46" spans="1:26" x14ac:dyDescent="0.25">
      <c r="A46" s="154" t="s">
        <v>123</v>
      </c>
      <c r="B46" s="154" t="s">
        <v>124</v>
      </c>
      <c r="C46" s="149">
        <v>215</v>
      </c>
      <c r="D46" s="149">
        <v>52</v>
      </c>
      <c r="E46" s="148">
        <v>31.6</v>
      </c>
      <c r="F46" s="148">
        <v>25.2</v>
      </c>
      <c r="G46" s="148">
        <v>23.4</v>
      </c>
      <c r="H46" s="145">
        <v>3.68</v>
      </c>
      <c r="I46" s="145">
        <v>3.72</v>
      </c>
      <c r="J46" s="145">
        <v>3.73</v>
      </c>
      <c r="K46" s="145">
        <v>146.54</v>
      </c>
      <c r="L46" s="145">
        <v>147.02000000000001</v>
      </c>
      <c r="M46" s="145">
        <v>146.34</v>
      </c>
      <c r="N46" s="152">
        <v>148.42567567567568</v>
      </c>
      <c r="O46" s="145">
        <v>149.38888888888889</v>
      </c>
      <c r="P46" s="159">
        <v>149.19327731092437</v>
      </c>
      <c r="Q46" s="151">
        <v>0.18354430379746836</v>
      </c>
      <c r="R46" s="151">
        <v>0.16666666666666663</v>
      </c>
      <c r="S46" s="151">
        <v>0.17948717948717949</v>
      </c>
      <c r="T46" s="153">
        <v>1</v>
      </c>
      <c r="U46" s="140">
        <v>0.33329999999999999</v>
      </c>
      <c r="V46" s="155">
        <v>0</v>
      </c>
      <c r="W46" s="140">
        <v>0</v>
      </c>
      <c r="X46" s="140">
        <v>0</v>
      </c>
      <c r="Y46" s="155">
        <v>1</v>
      </c>
      <c r="Z46" s="140">
        <f>Y46/'Master''s (1 yr)'!E47</f>
        <v>0.25</v>
      </c>
    </row>
    <row r="47" spans="1:26" x14ac:dyDescent="0.25">
      <c r="A47" s="154" t="s">
        <v>67</v>
      </c>
      <c r="B47" s="154" t="s">
        <v>64</v>
      </c>
      <c r="C47" s="149">
        <v>212</v>
      </c>
      <c r="D47" s="149">
        <v>53</v>
      </c>
      <c r="E47" s="148">
        <v>13.4</v>
      </c>
      <c r="F47" s="148">
        <v>0.8</v>
      </c>
      <c r="G47" s="148">
        <v>0.8</v>
      </c>
      <c r="H47" s="145">
        <v>3.45</v>
      </c>
      <c r="I47" s="145">
        <v>3.65</v>
      </c>
      <c r="J47" s="145">
        <v>3.65</v>
      </c>
      <c r="K47" s="145">
        <v>160.15</v>
      </c>
      <c r="L47" s="145">
        <v>162.66999999999999</v>
      </c>
      <c r="M47" s="145">
        <v>162.66999999999999</v>
      </c>
      <c r="N47" s="152">
        <v>149.79166666666666</v>
      </c>
      <c r="O47" s="145">
        <v>156.33333333333334</v>
      </c>
      <c r="P47" s="159">
        <v>156.33333333333334</v>
      </c>
      <c r="Q47" s="151">
        <v>4.4776119402985072E-2</v>
      </c>
      <c r="R47" s="151">
        <v>0.75</v>
      </c>
      <c r="S47" s="151">
        <v>0.75</v>
      </c>
      <c r="T47" s="153">
        <v>0.1905</v>
      </c>
      <c r="U47" s="140">
        <v>0.28570000000000001</v>
      </c>
      <c r="V47" s="155">
        <v>3</v>
      </c>
      <c r="W47" s="140">
        <v>0</v>
      </c>
      <c r="X47" s="140">
        <v>0</v>
      </c>
      <c r="Y47" s="155">
        <v>0</v>
      </c>
      <c r="Z47" s="140">
        <f>Y47/'Master''s (1 yr)'!E48</f>
        <v>0</v>
      </c>
    </row>
    <row r="48" spans="1:26" x14ac:dyDescent="0.25">
      <c r="A48" s="154" t="s">
        <v>8</v>
      </c>
      <c r="B48" s="154" t="s">
        <v>124</v>
      </c>
      <c r="C48" s="149">
        <v>215</v>
      </c>
      <c r="D48" s="149">
        <v>54</v>
      </c>
      <c r="E48" s="148">
        <v>27.4</v>
      </c>
      <c r="F48" s="148">
        <v>13.4</v>
      </c>
      <c r="G48" s="148">
        <v>10</v>
      </c>
      <c r="H48" s="145">
        <v>3.33</v>
      </c>
      <c r="I48" s="145">
        <v>3.37</v>
      </c>
      <c r="J48" s="145">
        <v>3.37</v>
      </c>
      <c r="K48" s="145">
        <v>148.9</v>
      </c>
      <c r="L48" s="145">
        <v>150.41999999999999</v>
      </c>
      <c r="M48" s="145">
        <v>149.88</v>
      </c>
      <c r="N48" s="152">
        <v>149.38181818181818</v>
      </c>
      <c r="O48" s="145">
        <v>151.75757575757575</v>
      </c>
      <c r="P48" s="159">
        <v>152.32</v>
      </c>
      <c r="Q48" s="151">
        <v>0.21167883211678831</v>
      </c>
      <c r="R48" s="151">
        <v>0.13432835820895522</v>
      </c>
      <c r="S48" s="151">
        <v>0.16</v>
      </c>
      <c r="T48" s="153">
        <v>0</v>
      </c>
      <c r="U48" s="140">
        <v>0</v>
      </c>
      <c r="V48" s="155">
        <v>0</v>
      </c>
      <c r="W48" s="140">
        <f>(0-0)/1</f>
        <v>0</v>
      </c>
      <c r="X48" s="140">
        <f>1/1</f>
        <v>1</v>
      </c>
      <c r="Y48" s="155">
        <v>0</v>
      </c>
      <c r="Z48" s="140">
        <v>0</v>
      </c>
    </row>
    <row r="49" spans="1:26" x14ac:dyDescent="0.25">
      <c r="A49" s="154" t="s">
        <v>164</v>
      </c>
      <c r="B49" s="154" t="s">
        <v>159</v>
      </c>
      <c r="C49" s="149">
        <v>216</v>
      </c>
      <c r="D49" s="149">
        <v>56</v>
      </c>
      <c r="E49" s="148">
        <v>1393.8</v>
      </c>
      <c r="F49" s="148">
        <v>539.4</v>
      </c>
      <c r="G49" s="148">
        <v>176.6</v>
      </c>
      <c r="H49" s="157">
        <v>3.43</v>
      </c>
      <c r="I49" s="159">
        <v>3.4582521877022656</v>
      </c>
      <c r="J49" s="159">
        <v>3.4245899125683055</v>
      </c>
      <c r="K49" s="145">
        <v>162.49</v>
      </c>
      <c r="L49" s="145">
        <v>163.44</v>
      </c>
      <c r="M49" s="145">
        <v>162.11000000000001</v>
      </c>
      <c r="N49" s="152">
        <v>154.19454770755885</v>
      </c>
      <c r="O49" s="145">
        <v>156.59031167855801</v>
      </c>
      <c r="P49" s="159">
        <v>155.93804347826088</v>
      </c>
      <c r="Q49" s="151">
        <v>1.162290142057684E-2</v>
      </c>
      <c r="R49" s="151">
        <v>2.0763811642565813E-2</v>
      </c>
      <c r="S49" s="151">
        <v>3.3975084937712341E-2</v>
      </c>
      <c r="T49" s="153">
        <v>0</v>
      </c>
      <c r="U49" s="140">
        <v>0.25</v>
      </c>
      <c r="V49" s="155">
        <v>0</v>
      </c>
      <c r="W49" s="140">
        <f>(0-0)/1</f>
        <v>0</v>
      </c>
      <c r="X49" s="140">
        <f>1/1</f>
        <v>1</v>
      </c>
      <c r="Y49" s="155">
        <v>0</v>
      </c>
      <c r="Z49" s="140">
        <f>Y49/'Master''s (1 yr)'!E50</f>
        <v>0</v>
      </c>
    </row>
    <row r="50" spans="1:26" x14ac:dyDescent="0.25">
      <c r="A50" s="154" t="s">
        <v>164</v>
      </c>
      <c r="B50" s="154" t="s">
        <v>238</v>
      </c>
      <c r="C50" s="149">
        <v>216</v>
      </c>
      <c r="D50" s="149">
        <v>56</v>
      </c>
      <c r="E50" s="148">
        <v>1393.8</v>
      </c>
      <c r="F50" s="148">
        <v>539.4</v>
      </c>
      <c r="G50" s="148">
        <v>176.6</v>
      </c>
      <c r="H50" s="145">
        <v>3.43</v>
      </c>
      <c r="I50" s="145">
        <v>3.46</v>
      </c>
      <c r="J50" s="145">
        <v>3.42</v>
      </c>
      <c r="K50" s="145">
        <v>162.49</v>
      </c>
      <c r="L50" s="145">
        <v>163.44</v>
      </c>
      <c r="M50" s="145">
        <v>162.11000000000001</v>
      </c>
      <c r="N50" s="152">
        <v>154.19454770755885</v>
      </c>
      <c r="O50" s="145">
        <v>156.59031167855801</v>
      </c>
      <c r="P50" s="159">
        <v>155.93804347826088</v>
      </c>
      <c r="Q50" s="151">
        <v>1.162290142057684E-2</v>
      </c>
      <c r="R50" s="151">
        <v>2.0763811642565813E-2</v>
      </c>
      <c r="S50" s="151">
        <v>3.3975084937712341E-2</v>
      </c>
      <c r="T50" s="153">
        <v>0.21460000000000001</v>
      </c>
      <c r="U50" s="140">
        <v>0.75519999999999998</v>
      </c>
      <c r="V50" s="155">
        <v>20</v>
      </c>
      <c r="W50" s="140">
        <f>(2-0)/38</f>
        <v>5.2631578947368418E-2</v>
      </c>
      <c r="X50" s="140">
        <f>36/38</f>
        <v>0.94736842105263153</v>
      </c>
      <c r="Y50" s="155">
        <v>30</v>
      </c>
      <c r="Z50" s="140">
        <f>Y50/'Master''s (1 yr)'!E51</f>
        <v>8.6705202312138727E-2</v>
      </c>
    </row>
    <row r="51" spans="1:26" x14ac:dyDescent="0.25">
      <c r="A51" s="154" t="s">
        <v>127</v>
      </c>
      <c r="B51" s="154" t="s">
        <v>124</v>
      </c>
      <c r="C51" s="149">
        <v>215</v>
      </c>
      <c r="D51" s="149">
        <v>57</v>
      </c>
      <c r="E51" s="148">
        <v>152.19999999999999</v>
      </c>
      <c r="F51" s="148">
        <v>136.80000000000001</v>
      </c>
      <c r="G51" s="148">
        <v>127.4</v>
      </c>
      <c r="H51" s="145">
        <v>3.62</v>
      </c>
      <c r="I51" s="145">
        <v>3.64</v>
      </c>
      <c r="J51" s="145">
        <v>3.65</v>
      </c>
      <c r="K51" s="145">
        <v>147.79</v>
      </c>
      <c r="L51" s="145">
        <v>148.02000000000001</v>
      </c>
      <c r="M51" s="145">
        <v>147.99</v>
      </c>
      <c r="N51" s="152">
        <v>150.40112994350284</v>
      </c>
      <c r="O51" s="145">
        <v>150.77777777777777</v>
      </c>
      <c r="P51" s="159">
        <v>150.81107491856679</v>
      </c>
      <c r="Q51" s="151">
        <v>0.14454664914586071</v>
      </c>
      <c r="R51" s="151">
        <v>0.14181286549707603</v>
      </c>
      <c r="S51" s="151">
        <v>0.14913657770800628</v>
      </c>
      <c r="T51" s="153">
        <v>0</v>
      </c>
      <c r="U51" s="140">
        <v>0</v>
      </c>
      <c r="V51" s="155">
        <v>0</v>
      </c>
      <c r="W51" s="140">
        <f>(3-1)/53</f>
        <v>3.7735849056603772E-2</v>
      </c>
      <c r="X51" s="140">
        <f>49/53</f>
        <v>0.92452830188679247</v>
      </c>
      <c r="Y51" s="155">
        <v>0</v>
      </c>
      <c r="Z51" s="140">
        <v>0</v>
      </c>
    </row>
    <row r="52" spans="1:26" x14ac:dyDescent="0.25">
      <c r="A52" s="154" t="s">
        <v>69</v>
      </c>
      <c r="B52" s="154" t="s">
        <v>64</v>
      </c>
      <c r="C52" s="149">
        <v>222</v>
      </c>
      <c r="D52" s="149">
        <v>60</v>
      </c>
      <c r="E52" s="148">
        <v>127.2</v>
      </c>
      <c r="F52" s="148">
        <v>18.2</v>
      </c>
      <c r="G52" s="148">
        <v>13.2</v>
      </c>
      <c r="H52" s="145">
        <v>3.62</v>
      </c>
      <c r="I52" s="145">
        <v>3.8</v>
      </c>
      <c r="J52" s="145">
        <v>3.79</v>
      </c>
      <c r="K52" s="145">
        <v>148.34</v>
      </c>
      <c r="L52" s="145">
        <v>149.49</v>
      </c>
      <c r="M52" s="145">
        <v>148.32</v>
      </c>
      <c r="N52" s="152">
        <v>159.04258943781943</v>
      </c>
      <c r="O52" s="145">
        <v>161.15730337078651</v>
      </c>
      <c r="P52" s="159">
        <v>159.65217391304347</v>
      </c>
      <c r="Q52" s="151">
        <v>0.13993710691823899</v>
      </c>
      <c r="R52" s="151">
        <v>0.25274725274725274</v>
      </c>
      <c r="S52" s="151">
        <v>0.31818181818181818</v>
      </c>
      <c r="T52" s="153">
        <v>0.63639999999999997</v>
      </c>
      <c r="U52" s="140">
        <v>9.0899999999999995E-2</v>
      </c>
      <c r="V52" s="155">
        <v>8</v>
      </c>
      <c r="W52" s="140">
        <f>(0-0)/7</f>
        <v>0</v>
      </c>
      <c r="X52" s="140">
        <f>7/7</f>
        <v>1</v>
      </c>
      <c r="Y52" s="155">
        <v>14</v>
      </c>
      <c r="Z52" s="140">
        <f>Y52/'Master''s (1 yr)'!E53</f>
        <v>0.875</v>
      </c>
    </row>
    <row r="53" spans="1:26" x14ac:dyDescent="0.25">
      <c r="A53" s="154" t="s">
        <v>129</v>
      </c>
      <c r="B53" s="154" t="s">
        <v>124</v>
      </c>
      <c r="C53" s="149">
        <v>215</v>
      </c>
      <c r="D53" s="149">
        <v>61</v>
      </c>
      <c r="E53" s="148">
        <v>32.200000000000003</v>
      </c>
      <c r="F53" s="148">
        <v>25.4</v>
      </c>
      <c r="G53" s="148">
        <v>20.6</v>
      </c>
      <c r="H53" s="145">
        <v>3.49</v>
      </c>
      <c r="I53" s="145">
        <v>3.5</v>
      </c>
      <c r="J53" s="145">
        <v>3.48</v>
      </c>
      <c r="K53" s="145">
        <v>148.66</v>
      </c>
      <c r="L53" s="145">
        <v>148.74</v>
      </c>
      <c r="M53" s="145">
        <v>147.91</v>
      </c>
      <c r="N53" s="152">
        <v>156.40689655172415</v>
      </c>
      <c r="O53" s="145">
        <v>157.08870967741936</v>
      </c>
      <c r="P53" s="159">
        <v>156.95145631067962</v>
      </c>
      <c r="Q53" s="151">
        <v>0.14285714285714285</v>
      </c>
      <c r="R53" s="151">
        <v>0.14960629921259844</v>
      </c>
      <c r="S53" s="151">
        <v>0.11650485436893204</v>
      </c>
      <c r="T53" s="153">
        <v>0.5</v>
      </c>
      <c r="U53" s="140">
        <v>0</v>
      </c>
      <c r="V53" s="155">
        <v>0</v>
      </c>
      <c r="W53" s="140">
        <v>0</v>
      </c>
      <c r="X53" s="140">
        <v>0</v>
      </c>
      <c r="Y53" s="155">
        <v>0</v>
      </c>
      <c r="Z53" s="140">
        <v>0</v>
      </c>
    </row>
    <row r="54" spans="1:26" x14ac:dyDescent="0.25">
      <c r="A54" s="154" t="s">
        <v>247</v>
      </c>
      <c r="B54" s="154" t="s">
        <v>238</v>
      </c>
      <c r="C54" s="149">
        <v>211</v>
      </c>
      <c r="D54" s="149">
        <v>62</v>
      </c>
      <c r="E54" s="148">
        <v>40.6</v>
      </c>
      <c r="F54" s="148">
        <v>24.8</v>
      </c>
      <c r="G54" s="148">
        <v>21.8</v>
      </c>
      <c r="H54" s="145">
        <v>3.24</v>
      </c>
      <c r="I54" s="145">
        <v>3.28</v>
      </c>
      <c r="J54" s="145">
        <v>3.25</v>
      </c>
      <c r="K54" s="145">
        <v>149.68</v>
      </c>
      <c r="L54" s="145">
        <v>149.84</v>
      </c>
      <c r="M54" s="145">
        <v>149.49</v>
      </c>
      <c r="N54" s="152">
        <v>152.07142857142858</v>
      </c>
      <c r="O54" s="145">
        <v>152.4655172413793</v>
      </c>
      <c r="P54" s="159">
        <v>151.90825688073394</v>
      </c>
      <c r="Q54" s="151">
        <v>0.11330049261083744</v>
      </c>
      <c r="R54" s="151">
        <v>7.2580645161290328E-2</v>
      </c>
      <c r="S54" s="151">
        <v>6.4220183486238536E-2</v>
      </c>
      <c r="T54" s="153">
        <v>0.5</v>
      </c>
      <c r="U54" s="140">
        <v>0.23080000000000001</v>
      </c>
      <c r="V54" s="155">
        <v>7</v>
      </c>
      <c r="W54" s="140">
        <f>(0-0)/3</f>
        <v>0</v>
      </c>
      <c r="X54" s="140">
        <f>3/3</f>
        <v>1</v>
      </c>
      <c r="Y54" s="155">
        <v>31</v>
      </c>
      <c r="Z54" s="140">
        <f>Y54/'Master''s (1 yr)'!E55</f>
        <v>0.49206349206349204</v>
      </c>
    </row>
    <row r="55" spans="1:26" x14ac:dyDescent="0.25">
      <c r="A55" s="154" t="s">
        <v>312</v>
      </c>
      <c r="B55" s="154" t="s">
        <v>238</v>
      </c>
      <c r="C55" s="149">
        <v>212</v>
      </c>
      <c r="D55" s="149">
        <v>491</v>
      </c>
      <c r="E55" s="148">
        <v>83.2</v>
      </c>
      <c r="F55" s="148">
        <v>61.4</v>
      </c>
      <c r="G55" s="148">
        <v>49.2</v>
      </c>
      <c r="H55" s="145">
        <v>3.23</v>
      </c>
      <c r="I55" s="145">
        <v>3.27</v>
      </c>
      <c r="J55" s="145">
        <v>3.26</v>
      </c>
      <c r="K55" s="145">
        <v>150.77000000000001</v>
      </c>
      <c r="L55" s="145">
        <v>151.32</v>
      </c>
      <c r="M55" s="145">
        <v>150.72</v>
      </c>
      <c r="N55" s="152">
        <v>151.69565217391303</v>
      </c>
      <c r="O55" s="187">
        <v>152.46153846153845</v>
      </c>
      <c r="P55" s="159">
        <v>152.1</v>
      </c>
      <c r="Q55" s="151">
        <v>0.21634615384615385</v>
      </c>
      <c r="R55" s="151">
        <v>0.20195439739413681</v>
      </c>
      <c r="S55" s="151">
        <v>0.2073170731707317</v>
      </c>
      <c r="T55" s="153">
        <v>0.33329999999999999</v>
      </c>
      <c r="U55" s="140">
        <v>0.23810000000000001</v>
      </c>
      <c r="V55" s="155">
        <v>7</v>
      </c>
      <c r="W55" s="140">
        <f>(3-0)/23</f>
        <v>0.13043478260869565</v>
      </c>
      <c r="X55" s="140">
        <f>20/23</f>
        <v>0.86956521739130432</v>
      </c>
      <c r="Y55" s="155">
        <v>1</v>
      </c>
      <c r="Z55" s="140">
        <f>Y55/'Master''s (1 yr)'!E56</f>
        <v>3.3333333333333333E-2</v>
      </c>
    </row>
    <row r="56" spans="1:26" x14ac:dyDescent="0.25">
      <c r="A56" s="154" t="s">
        <v>166</v>
      </c>
      <c r="B56" s="154" t="s">
        <v>159</v>
      </c>
      <c r="C56" s="149">
        <v>216</v>
      </c>
      <c r="D56" s="149">
        <v>63</v>
      </c>
      <c r="E56" s="148">
        <v>147</v>
      </c>
      <c r="F56" s="148">
        <v>54.6</v>
      </c>
      <c r="G56" s="148">
        <v>48</v>
      </c>
      <c r="H56" s="145">
        <v>3.27</v>
      </c>
      <c r="I56" s="145">
        <v>3.3</v>
      </c>
      <c r="J56" s="145">
        <v>3.31</v>
      </c>
      <c r="K56" s="145">
        <v>157.80000000000001</v>
      </c>
      <c r="L56" s="145">
        <v>154.37</v>
      </c>
      <c r="M56" s="145">
        <v>153.85</v>
      </c>
      <c r="N56" s="152">
        <v>152.70309653916212</v>
      </c>
      <c r="O56" s="145">
        <v>154.03243243243244</v>
      </c>
      <c r="P56" s="159">
        <v>153.55681818181819</v>
      </c>
      <c r="Q56" s="151">
        <v>0.10340136054421768</v>
      </c>
      <c r="R56" s="151">
        <v>0.14652014652014653</v>
      </c>
      <c r="S56" s="151">
        <v>0.15833333333333333</v>
      </c>
      <c r="T56" s="153">
        <v>0.35880000000000001</v>
      </c>
      <c r="U56" s="140">
        <v>4.7100000000000003E-2</v>
      </c>
      <c r="V56" s="155">
        <v>7</v>
      </c>
      <c r="W56" s="140">
        <f>(2-0)/8</f>
        <v>0.25</v>
      </c>
      <c r="X56" s="140">
        <f>6/8</f>
        <v>0.75</v>
      </c>
      <c r="Y56" s="155">
        <v>8</v>
      </c>
      <c r="Z56" s="140">
        <f>Y56/'Master''s (1 yr)'!E57</f>
        <v>0.14814814814814814</v>
      </c>
    </row>
    <row r="57" spans="1:26" x14ac:dyDescent="0.25">
      <c r="A57" s="154" t="s">
        <v>166</v>
      </c>
      <c r="B57" s="154" t="s">
        <v>238</v>
      </c>
      <c r="C57" s="149">
        <v>216</v>
      </c>
      <c r="D57" s="149">
        <v>63</v>
      </c>
      <c r="E57" s="148">
        <v>147</v>
      </c>
      <c r="F57" s="148">
        <v>54.6</v>
      </c>
      <c r="G57" s="148">
        <v>48</v>
      </c>
      <c r="H57" s="145">
        <v>3.27</v>
      </c>
      <c r="I57" s="145">
        <v>3.3</v>
      </c>
      <c r="J57" s="145">
        <v>3.31</v>
      </c>
      <c r="K57" s="145">
        <v>157.80000000000001</v>
      </c>
      <c r="L57" s="145">
        <v>154.37</v>
      </c>
      <c r="M57" s="145">
        <v>153.85</v>
      </c>
      <c r="N57" s="152">
        <v>152.70309653916212</v>
      </c>
      <c r="O57" s="145">
        <v>154.03243243243244</v>
      </c>
      <c r="P57" s="159">
        <v>153.55681818181819</v>
      </c>
      <c r="Q57" s="151">
        <v>0.10340136054421768</v>
      </c>
      <c r="R57" s="151">
        <v>0.14652014652014653</v>
      </c>
      <c r="S57" s="151">
        <v>0.15833333333333333</v>
      </c>
      <c r="T57" s="153">
        <v>0.45629999999999998</v>
      </c>
      <c r="U57" s="140">
        <v>0.17480000000000001</v>
      </c>
      <c r="V57" s="155">
        <v>4</v>
      </c>
      <c r="W57" s="140">
        <f>(1-0)/5</f>
        <v>0.2</v>
      </c>
      <c r="X57" s="140">
        <f>4/5</f>
        <v>0.8</v>
      </c>
      <c r="Y57" s="155">
        <v>0</v>
      </c>
      <c r="Z57" s="140">
        <f>Y57/'Master''s (1 yr)'!E58</f>
        <v>0</v>
      </c>
    </row>
    <row r="58" spans="1:26" x14ac:dyDescent="0.25">
      <c r="A58" s="154" t="s">
        <v>296</v>
      </c>
      <c r="B58" s="154" t="s">
        <v>238</v>
      </c>
      <c r="C58" s="149">
        <v>219</v>
      </c>
      <c r="D58" s="149">
        <v>455</v>
      </c>
      <c r="E58" s="148">
        <v>9</v>
      </c>
      <c r="F58" s="148">
        <v>0</v>
      </c>
      <c r="G58" s="148">
        <v>0</v>
      </c>
      <c r="H58" s="145">
        <v>3.06</v>
      </c>
      <c r="I58" s="145"/>
      <c r="J58" s="145"/>
      <c r="K58" s="152">
        <v>151.22999999999999</v>
      </c>
      <c r="L58" s="145"/>
      <c r="M58" s="145">
        <v>150</v>
      </c>
      <c r="N58" s="152">
        <v>150.4</v>
      </c>
      <c r="O58" s="145"/>
      <c r="P58" s="159">
        <v>150</v>
      </c>
      <c r="Q58" s="151">
        <v>0.26666666666666666</v>
      </c>
      <c r="R58" s="151">
        <v>0</v>
      </c>
      <c r="S58" s="151">
        <v>0</v>
      </c>
      <c r="T58" s="153">
        <v>1</v>
      </c>
      <c r="U58" s="140">
        <v>0</v>
      </c>
      <c r="V58" s="155">
        <v>0</v>
      </c>
      <c r="W58" s="140">
        <v>0</v>
      </c>
      <c r="X58" s="140">
        <v>0</v>
      </c>
      <c r="Y58" s="155">
        <v>0</v>
      </c>
      <c r="Z58" s="140">
        <f>Y58/'Master''s (1 yr)'!E59</f>
        <v>0</v>
      </c>
    </row>
    <row r="59" spans="1:26" x14ac:dyDescent="0.25">
      <c r="A59" s="154" t="s">
        <v>296</v>
      </c>
      <c r="B59" s="154" t="s">
        <v>238</v>
      </c>
      <c r="C59" s="149">
        <v>223</v>
      </c>
      <c r="D59" s="149">
        <v>455</v>
      </c>
      <c r="E59" s="148">
        <v>3</v>
      </c>
      <c r="F59" s="148">
        <v>0.2</v>
      </c>
      <c r="G59" s="148">
        <v>0.2</v>
      </c>
      <c r="H59" s="145">
        <v>3.17</v>
      </c>
      <c r="I59" s="145">
        <v>3.5</v>
      </c>
      <c r="J59" s="145">
        <v>3.5</v>
      </c>
      <c r="K59" s="152">
        <v>153.19999999999999</v>
      </c>
      <c r="L59" s="145">
        <v>148</v>
      </c>
      <c r="M59" s="145">
        <v>148</v>
      </c>
      <c r="N59" s="152">
        <v>153.80000000000001</v>
      </c>
      <c r="O59" s="145">
        <v>151</v>
      </c>
      <c r="P59" s="159">
        <v>151</v>
      </c>
      <c r="Q59" s="151">
        <v>0.2</v>
      </c>
      <c r="R59" s="151">
        <v>0</v>
      </c>
      <c r="S59" s="151">
        <v>0</v>
      </c>
      <c r="T59" s="153">
        <v>0</v>
      </c>
      <c r="U59" s="140">
        <v>0</v>
      </c>
      <c r="V59" s="155">
        <v>0</v>
      </c>
      <c r="W59" s="140">
        <v>0</v>
      </c>
      <c r="X59" s="140">
        <v>0</v>
      </c>
      <c r="Y59" s="155">
        <v>0</v>
      </c>
      <c r="Z59" s="140">
        <v>0</v>
      </c>
    </row>
    <row r="60" spans="1:26" x14ac:dyDescent="0.25">
      <c r="A60" s="154" t="s">
        <v>249</v>
      </c>
      <c r="B60" s="154" t="s">
        <v>238</v>
      </c>
      <c r="C60" s="149">
        <v>211</v>
      </c>
      <c r="D60" s="149">
        <v>65</v>
      </c>
      <c r="E60" s="148">
        <v>24.6</v>
      </c>
      <c r="F60" s="148">
        <v>16.2</v>
      </c>
      <c r="G60" s="148">
        <v>11.6</v>
      </c>
      <c r="H60" s="147">
        <v>3.3069304059405948</v>
      </c>
      <c r="I60" s="156">
        <v>3.3684928356164385</v>
      </c>
      <c r="J60" s="156">
        <v>3.3905655849056604</v>
      </c>
      <c r="K60" s="152">
        <v>147.0841121495327</v>
      </c>
      <c r="L60" s="145">
        <v>148.14864864864865</v>
      </c>
      <c r="M60" s="145">
        <v>148.23214285714286</v>
      </c>
      <c r="N60" s="152">
        <v>149.60747663551402</v>
      </c>
      <c r="O60" s="145">
        <v>151.35135135135135</v>
      </c>
      <c r="P60" s="159">
        <v>150.75</v>
      </c>
      <c r="Q60" s="151">
        <v>0.26016260162601629</v>
      </c>
      <c r="R60" s="151">
        <v>0.2839506172839506</v>
      </c>
      <c r="S60" s="151">
        <v>0.27586206896551724</v>
      </c>
      <c r="T60" s="153">
        <v>0.75900000000000001</v>
      </c>
      <c r="U60" s="140">
        <v>9.64E-2</v>
      </c>
      <c r="V60" s="155">
        <v>10</v>
      </c>
      <c r="W60" s="140">
        <v>0</v>
      </c>
      <c r="X60" s="140">
        <v>0</v>
      </c>
      <c r="Y60" s="155">
        <v>6</v>
      </c>
      <c r="Z60" s="140">
        <f>Y60/'Master''s (1 yr)'!E61</f>
        <v>0.21428571428571427</v>
      </c>
    </row>
    <row r="61" spans="1:26" x14ac:dyDescent="0.25">
      <c r="A61" s="154" t="s">
        <v>306</v>
      </c>
      <c r="B61" s="154" t="s">
        <v>238</v>
      </c>
      <c r="C61" s="149">
        <v>212</v>
      </c>
      <c r="D61" s="149">
        <v>472</v>
      </c>
      <c r="E61" s="148">
        <v>243</v>
      </c>
      <c r="F61" s="148">
        <v>27.4</v>
      </c>
      <c r="G61" s="148">
        <v>25.2</v>
      </c>
      <c r="H61" s="145">
        <v>3.6</v>
      </c>
      <c r="I61" s="145">
        <v>3.69</v>
      </c>
      <c r="J61" s="145">
        <v>3.69</v>
      </c>
      <c r="K61" s="152">
        <v>161.40404040404042</v>
      </c>
      <c r="L61" s="145">
        <v>161.66666666666666</v>
      </c>
      <c r="M61" s="145">
        <v>160.80000000000001</v>
      </c>
      <c r="N61" s="152">
        <v>151.91919191919192</v>
      </c>
      <c r="O61" s="145">
        <v>159.5</v>
      </c>
      <c r="P61" s="159">
        <v>158</v>
      </c>
      <c r="Q61" s="151">
        <v>2.7160493827160494E-2</v>
      </c>
      <c r="R61" s="151">
        <v>0.11678832116788321</v>
      </c>
      <c r="S61" s="151">
        <v>0.12698412698412698</v>
      </c>
      <c r="T61" s="153">
        <v>0.1522</v>
      </c>
      <c r="U61" s="140">
        <v>0.19570000000000001</v>
      </c>
      <c r="V61" s="155">
        <v>1</v>
      </c>
      <c r="W61" s="140">
        <f>(0-0)/8</f>
        <v>0</v>
      </c>
      <c r="X61" s="140">
        <f>8/8</f>
        <v>1</v>
      </c>
      <c r="Y61" s="155">
        <v>0</v>
      </c>
      <c r="Z61" s="140">
        <f>Y61/'Master''s (1 yr)'!E62</f>
        <v>0</v>
      </c>
    </row>
    <row r="62" spans="1:26" x14ac:dyDescent="0.25">
      <c r="A62" s="154" t="s">
        <v>188</v>
      </c>
      <c r="B62" s="154" t="s">
        <v>238</v>
      </c>
      <c r="C62" s="149">
        <v>211</v>
      </c>
      <c r="D62" s="149">
        <v>66</v>
      </c>
      <c r="E62" s="148">
        <v>34.4</v>
      </c>
      <c r="F62" s="148">
        <v>12</v>
      </c>
      <c r="G62" s="148">
        <v>11</v>
      </c>
      <c r="H62" s="145">
        <v>3.36</v>
      </c>
      <c r="I62" s="145">
        <v>3.38</v>
      </c>
      <c r="J62" s="145">
        <v>3.39</v>
      </c>
      <c r="K62" s="152">
        <v>152.47333333333333</v>
      </c>
      <c r="L62" s="145">
        <v>152.72413793103448</v>
      </c>
      <c r="M62" s="145">
        <v>152.39655172413794</v>
      </c>
      <c r="N62" s="152">
        <v>153.06</v>
      </c>
      <c r="O62" s="145">
        <v>153.10344827586206</v>
      </c>
      <c r="P62" s="159">
        <v>152.68965517241378</v>
      </c>
      <c r="Q62" s="151">
        <v>4.6511627906976744E-2</v>
      </c>
      <c r="R62" s="151">
        <v>0</v>
      </c>
      <c r="S62" s="151">
        <v>0</v>
      </c>
      <c r="T62" s="153">
        <v>0.53249999999999997</v>
      </c>
      <c r="U62" s="140">
        <v>9.0899999999999995E-2</v>
      </c>
      <c r="V62" s="155">
        <v>0</v>
      </c>
      <c r="W62" s="140">
        <f>(0-0)/1</f>
        <v>0</v>
      </c>
      <c r="X62" s="140">
        <f>1/1</f>
        <v>1</v>
      </c>
      <c r="Y62" s="155">
        <v>12</v>
      </c>
      <c r="Z62" s="140">
        <f>Y62/'Master''s (1 yr)'!E63</f>
        <v>0.52173913043478259</v>
      </c>
    </row>
    <row r="63" spans="1:26" x14ac:dyDescent="0.25">
      <c r="A63" s="154" t="s">
        <v>53</v>
      </c>
      <c r="B63" s="154" t="s">
        <v>238</v>
      </c>
      <c r="C63" s="149">
        <v>211</v>
      </c>
      <c r="D63" s="149">
        <v>67</v>
      </c>
      <c r="E63" s="148">
        <v>64.2</v>
      </c>
      <c r="F63" s="148">
        <v>47.4</v>
      </c>
      <c r="G63" s="148">
        <v>34</v>
      </c>
      <c r="H63" s="145">
        <v>3.34</v>
      </c>
      <c r="I63" s="145">
        <v>3.39</v>
      </c>
      <c r="J63" s="145">
        <v>3.32</v>
      </c>
      <c r="K63" s="152">
        <v>151.74358974358975</v>
      </c>
      <c r="L63" s="145">
        <v>151.90045248868779</v>
      </c>
      <c r="M63" s="145">
        <v>150.22222222222223</v>
      </c>
      <c r="N63" s="145">
        <v>149.51</v>
      </c>
      <c r="O63" s="145">
        <v>149.94999999999999</v>
      </c>
      <c r="P63" s="145">
        <v>148.36000000000001</v>
      </c>
      <c r="Q63" s="151">
        <v>0.1059190031152648</v>
      </c>
      <c r="R63" s="151">
        <v>8.8607594936708847E-2</v>
      </c>
      <c r="S63" s="151">
        <v>0.12352941176470589</v>
      </c>
      <c r="T63" s="153">
        <v>0.39800000000000002</v>
      </c>
      <c r="U63" s="140">
        <v>0.46939999999999998</v>
      </c>
      <c r="V63" s="155">
        <v>4</v>
      </c>
      <c r="W63" s="140">
        <f>(0-0)/7</f>
        <v>0</v>
      </c>
      <c r="X63" s="140">
        <f>7/7</f>
        <v>1</v>
      </c>
      <c r="Y63" s="155">
        <v>2</v>
      </c>
      <c r="Z63" s="140">
        <f>Y63/'Master''s (1 yr)'!E64</f>
        <v>6.8965517241379309E-2</v>
      </c>
    </row>
    <row r="64" spans="1:26" x14ac:dyDescent="0.25">
      <c r="A64" s="154" t="s">
        <v>251</v>
      </c>
      <c r="B64" s="154" t="s">
        <v>238</v>
      </c>
      <c r="C64" s="149">
        <v>211</v>
      </c>
      <c r="D64" s="149">
        <v>68</v>
      </c>
      <c r="E64" s="148">
        <v>140</v>
      </c>
      <c r="F64" s="148">
        <v>34.200000000000003</v>
      </c>
      <c r="G64" s="148">
        <v>23.2</v>
      </c>
      <c r="H64" s="145">
        <v>3.46</v>
      </c>
      <c r="I64" s="145">
        <v>3.53</v>
      </c>
      <c r="J64" s="145">
        <v>3.49</v>
      </c>
      <c r="K64" s="152">
        <v>155.31603773584905</v>
      </c>
      <c r="L64" s="145">
        <v>152.4702380952381</v>
      </c>
      <c r="M64" s="145">
        <v>152.14655172413794</v>
      </c>
      <c r="N64" s="145">
        <v>150.37</v>
      </c>
      <c r="O64" s="145">
        <v>151.4</v>
      </c>
      <c r="P64" s="145">
        <v>150.53</v>
      </c>
      <c r="Q64" s="151">
        <v>6.2857142857142861E-2</v>
      </c>
      <c r="R64" s="151">
        <v>0.12865497076023391</v>
      </c>
      <c r="S64" s="151">
        <v>0.12068965517241378</v>
      </c>
      <c r="T64" s="153">
        <v>0.64439999999999997</v>
      </c>
      <c r="U64" s="140">
        <v>0.29630000000000001</v>
      </c>
      <c r="V64" s="155">
        <v>2</v>
      </c>
      <c r="W64" s="140">
        <f>(2-0)/11</f>
        <v>0.18181818181818182</v>
      </c>
      <c r="X64" s="140">
        <f>9/11</f>
        <v>0.81818181818181823</v>
      </c>
      <c r="Y64" s="155">
        <v>16</v>
      </c>
      <c r="Z64" s="140">
        <f>Y64/'Master''s (1 yr)'!E65</f>
        <v>0.38095238095238093</v>
      </c>
    </row>
    <row r="65" spans="1:26" x14ac:dyDescent="0.25">
      <c r="A65" s="154" t="s">
        <v>192</v>
      </c>
      <c r="B65" s="154" t="s">
        <v>238</v>
      </c>
      <c r="C65" s="149">
        <v>211</v>
      </c>
      <c r="D65" s="149">
        <v>70</v>
      </c>
      <c r="E65" s="148">
        <v>34.6</v>
      </c>
      <c r="F65" s="148">
        <v>21.2</v>
      </c>
      <c r="G65" s="148">
        <v>18.8</v>
      </c>
      <c r="H65" s="145">
        <v>3.36</v>
      </c>
      <c r="I65" s="145">
        <v>3.39</v>
      </c>
      <c r="J65" s="145">
        <v>3.38</v>
      </c>
      <c r="K65" s="152">
        <v>151.41666666666666</v>
      </c>
      <c r="L65" s="145">
        <v>150.66019417475729</v>
      </c>
      <c r="M65" s="145">
        <v>150.59595959595958</v>
      </c>
      <c r="N65" s="152">
        <v>152.71794871794873</v>
      </c>
      <c r="O65" s="145">
        <v>153.71844660194174</v>
      </c>
      <c r="P65" s="159">
        <v>153.34343434343435</v>
      </c>
      <c r="Q65" s="151">
        <v>9.2485549132947972E-2</v>
      </c>
      <c r="R65" s="151">
        <v>6.6037735849056603E-2</v>
      </c>
      <c r="S65" s="151">
        <v>7.4468085106382975E-2</v>
      </c>
      <c r="T65" s="153">
        <v>0.496</v>
      </c>
      <c r="U65" s="140">
        <v>0.12</v>
      </c>
      <c r="V65" s="155">
        <v>4</v>
      </c>
      <c r="W65" s="140">
        <f>(2-0)/5</f>
        <v>0.4</v>
      </c>
      <c r="X65" s="140">
        <f>3/5</f>
        <v>0.6</v>
      </c>
      <c r="Y65" s="155">
        <v>12</v>
      </c>
      <c r="Z65" s="140">
        <f>Y65/'Master''s (1 yr)'!E66</f>
        <v>0.23076923076923078</v>
      </c>
    </row>
    <row r="66" spans="1:26" x14ac:dyDescent="0.25">
      <c r="A66" s="154" t="s">
        <v>121</v>
      </c>
      <c r="B66" s="154" t="s">
        <v>64</v>
      </c>
      <c r="C66" s="149">
        <v>222</v>
      </c>
      <c r="D66" s="149">
        <v>539</v>
      </c>
      <c r="E66" s="148">
        <v>9.4</v>
      </c>
      <c r="F66" s="148">
        <v>5.2</v>
      </c>
      <c r="G66" s="148">
        <v>3.4</v>
      </c>
      <c r="H66" s="158">
        <v>3.52</v>
      </c>
      <c r="I66" s="158">
        <v>3.48</v>
      </c>
      <c r="J66" s="158">
        <v>3.44</v>
      </c>
      <c r="K66" s="158">
        <v>145.71</v>
      </c>
      <c r="L66" s="158">
        <v>145.75</v>
      </c>
      <c r="M66" s="158">
        <v>144.59</v>
      </c>
      <c r="N66" s="152">
        <v>151.49</v>
      </c>
      <c r="O66" s="158">
        <v>151.5</v>
      </c>
      <c r="P66" s="159">
        <v>150.71</v>
      </c>
      <c r="Q66" s="151">
        <v>0.23404255319148937</v>
      </c>
      <c r="R66" s="151">
        <v>0.11538461538461538</v>
      </c>
      <c r="S66" s="151">
        <v>0.17647058823529413</v>
      </c>
      <c r="T66" s="153">
        <v>0.6</v>
      </c>
      <c r="U66" s="140">
        <v>0.05</v>
      </c>
      <c r="V66" s="155">
        <v>3</v>
      </c>
      <c r="W66" s="140">
        <v>0</v>
      </c>
      <c r="X66" s="140">
        <v>0</v>
      </c>
      <c r="Y66" s="155">
        <v>7</v>
      </c>
      <c r="Z66" s="140">
        <f>Y66/'Master''s (1 yr)'!E67</f>
        <v>0.77777777777777779</v>
      </c>
    </row>
    <row r="67" spans="1:26" x14ac:dyDescent="0.25">
      <c r="A67" s="154" t="s">
        <v>71</v>
      </c>
      <c r="B67" s="154" t="s">
        <v>64</v>
      </c>
      <c r="C67" s="149">
        <v>222</v>
      </c>
      <c r="D67" s="149">
        <v>73</v>
      </c>
      <c r="E67" s="148">
        <v>22</v>
      </c>
      <c r="F67" s="148">
        <v>9.4</v>
      </c>
      <c r="G67" s="148">
        <v>4.4000000000000004</v>
      </c>
      <c r="H67" s="145">
        <v>3.49</v>
      </c>
      <c r="I67" s="145">
        <v>3.5</v>
      </c>
      <c r="J67" s="145">
        <v>3.48</v>
      </c>
      <c r="K67" s="145">
        <v>157.35</v>
      </c>
      <c r="L67" s="145">
        <v>154.62</v>
      </c>
      <c r="M67" s="145">
        <v>152.66999999999999</v>
      </c>
      <c r="N67" s="152">
        <v>154.03030303030303</v>
      </c>
      <c r="O67" s="145">
        <v>156.12765957446808</v>
      </c>
      <c r="P67" s="159">
        <v>155.70833333333334</v>
      </c>
      <c r="Q67" s="151">
        <v>9.0909090909090912E-2</v>
      </c>
      <c r="R67" s="151">
        <v>0.14893617021276595</v>
      </c>
      <c r="S67" s="151">
        <v>0.18181818181818182</v>
      </c>
      <c r="T67" s="153">
        <v>0</v>
      </c>
      <c r="U67" s="140">
        <v>0</v>
      </c>
      <c r="V67" s="155">
        <v>0</v>
      </c>
      <c r="W67" s="140">
        <f>(1-0)/1</f>
        <v>1</v>
      </c>
      <c r="X67" s="140">
        <f>0/1</f>
        <v>0</v>
      </c>
      <c r="Y67" s="155">
        <v>0</v>
      </c>
      <c r="Z67" s="140">
        <v>0</v>
      </c>
    </row>
    <row r="68" spans="1:26" x14ac:dyDescent="0.25">
      <c r="A68" s="154" t="s">
        <v>71</v>
      </c>
      <c r="B68" s="154" t="s">
        <v>238</v>
      </c>
      <c r="C68" s="149">
        <v>222</v>
      </c>
      <c r="D68" s="149">
        <v>73</v>
      </c>
      <c r="E68" s="148">
        <v>22</v>
      </c>
      <c r="F68" s="148">
        <v>9.4</v>
      </c>
      <c r="G68" s="148">
        <v>4.4000000000000004</v>
      </c>
      <c r="H68" s="145">
        <v>3.49</v>
      </c>
      <c r="I68" s="145">
        <v>3.5</v>
      </c>
      <c r="J68" s="145">
        <v>3.48</v>
      </c>
      <c r="K68" s="145">
        <v>157.35</v>
      </c>
      <c r="L68" s="145">
        <v>154.62</v>
      </c>
      <c r="M68" s="145">
        <v>152.66999999999999</v>
      </c>
      <c r="N68" s="152">
        <v>154.03030303030303</v>
      </c>
      <c r="O68" s="145">
        <v>156.12765957446808</v>
      </c>
      <c r="P68" s="159">
        <v>155.70833333333334</v>
      </c>
      <c r="Q68" s="151">
        <v>9.0909090909090912E-2</v>
      </c>
      <c r="R68" s="151">
        <v>0.14893617021276595</v>
      </c>
      <c r="S68" s="151">
        <v>0.18181818181818182</v>
      </c>
      <c r="T68" s="153">
        <v>0.54169999999999996</v>
      </c>
      <c r="U68" s="140">
        <v>0.33329999999999999</v>
      </c>
      <c r="V68" s="155">
        <v>3</v>
      </c>
      <c r="W68" s="140">
        <f>(1-0)/1</f>
        <v>1</v>
      </c>
      <c r="X68" s="140">
        <f>0/1</f>
        <v>0</v>
      </c>
      <c r="Y68" s="155">
        <v>1</v>
      </c>
      <c r="Z68" s="140">
        <f>Y68/'Master''s (1 yr)'!E69</f>
        <v>0.2</v>
      </c>
    </row>
    <row r="69" spans="1:26" x14ac:dyDescent="0.25">
      <c r="A69" s="154" t="s">
        <v>253</v>
      </c>
      <c r="B69" s="154" t="s">
        <v>238</v>
      </c>
      <c r="C69" s="149">
        <v>222</v>
      </c>
      <c r="D69" s="149">
        <v>74</v>
      </c>
      <c r="E69" s="148">
        <v>29</v>
      </c>
      <c r="F69" s="148">
        <v>8.8000000000000007</v>
      </c>
      <c r="G69" s="148">
        <v>5.4</v>
      </c>
      <c r="H69" s="145">
        <v>3.35</v>
      </c>
      <c r="I69" s="145">
        <v>3.5</v>
      </c>
      <c r="J69" s="145">
        <v>3.46</v>
      </c>
      <c r="K69" s="145">
        <v>153.24</v>
      </c>
      <c r="L69" s="145">
        <v>153.80000000000001</v>
      </c>
      <c r="M69" s="145">
        <v>153.15</v>
      </c>
      <c r="N69" s="152">
        <v>152.74809160305344</v>
      </c>
      <c r="O69" s="145">
        <v>153.31818181818181</v>
      </c>
      <c r="P69" s="159">
        <v>152.4814814814815</v>
      </c>
      <c r="Q69" s="151">
        <v>8.2758620689655171E-2</v>
      </c>
      <c r="R69" s="151">
        <v>0.11363636363636363</v>
      </c>
      <c r="S69" s="151">
        <v>0.1111111111111111</v>
      </c>
      <c r="T69" s="153">
        <v>0.37840000000000001</v>
      </c>
      <c r="U69" s="140">
        <v>0.1351</v>
      </c>
      <c r="V69" s="155">
        <v>1</v>
      </c>
      <c r="W69" s="140">
        <f>(0-0)/1</f>
        <v>0</v>
      </c>
      <c r="X69" s="140">
        <f>1/1</f>
        <v>1</v>
      </c>
      <c r="Y69" s="155">
        <v>9</v>
      </c>
      <c r="Z69" s="140">
        <f>Y69/'Master''s (1 yr)'!E70</f>
        <v>0.69230769230769229</v>
      </c>
    </row>
    <row r="70" spans="1:26" x14ac:dyDescent="0.25">
      <c r="A70" s="154" t="s">
        <v>73</v>
      </c>
      <c r="B70" s="154" t="s">
        <v>64</v>
      </c>
      <c r="C70" s="149">
        <v>222</v>
      </c>
      <c r="D70" s="149">
        <v>75</v>
      </c>
      <c r="E70" s="148">
        <v>4.5999999999999996</v>
      </c>
      <c r="F70" s="148">
        <v>4</v>
      </c>
      <c r="G70" s="148">
        <v>2.8</v>
      </c>
      <c r="H70" s="145">
        <v>3.4</v>
      </c>
      <c r="I70" s="145">
        <v>3.47</v>
      </c>
      <c r="J70" s="145">
        <v>3.26</v>
      </c>
      <c r="K70" s="145">
        <v>146.52000000000001</v>
      </c>
      <c r="L70" s="145">
        <v>147.44999999999999</v>
      </c>
      <c r="M70" s="145">
        <v>146.29</v>
      </c>
      <c r="N70" s="152">
        <v>150.39130434782609</v>
      </c>
      <c r="O70" s="145">
        <v>152.25</v>
      </c>
      <c r="P70" s="159">
        <v>151.28571428571428</v>
      </c>
      <c r="Q70" s="151">
        <v>8.6956521739130432E-2</v>
      </c>
      <c r="R70" s="151">
        <v>0.1</v>
      </c>
      <c r="S70" s="151">
        <v>7.1428571428571425E-2</v>
      </c>
      <c r="T70" s="153">
        <v>0.64710000000000001</v>
      </c>
      <c r="U70" s="140">
        <v>0.58819999999999995</v>
      </c>
      <c r="V70" s="155">
        <v>0</v>
      </c>
      <c r="W70" s="140">
        <f>(2-0)/3</f>
        <v>0.66666666666666663</v>
      </c>
      <c r="X70" s="140">
        <f>1/3</f>
        <v>0.33333333333333331</v>
      </c>
      <c r="Y70" s="155">
        <v>3</v>
      </c>
      <c r="Z70" s="140">
        <f>Y70/'Master''s (1 yr)'!E71</f>
        <v>1</v>
      </c>
    </row>
    <row r="71" spans="1:26" x14ac:dyDescent="0.25">
      <c r="A71" s="154" t="s">
        <v>256</v>
      </c>
      <c r="B71" s="154" t="s">
        <v>238</v>
      </c>
      <c r="C71" s="149">
        <v>218</v>
      </c>
      <c r="D71" s="149">
        <v>78</v>
      </c>
      <c r="E71" s="148">
        <v>43.6</v>
      </c>
      <c r="F71" s="148">
        <v>30</v>
      </c>
      <c r="G71" s="148">
        <v>25.2</v>
      </c>
      <c r="H71" s="147">
        <v>3.3729588520408167</v>
      </c>
      <c r="I71" s="156">
        <v>3.4409719999999999</v>
      </c>
      <c r="J71" s="156">
        <v>3.4475407786885248</v>
      </c>
      <c r="K71" s="145">
        <v>148.18</v>
      </c>
      <c r="L71" s="145">
        <v>149.02000000000001</v>
      </c>
      <c r="M71" s="145">
        <v>148.82</v>
      </c>
      <c r="N71" s="145">
        <v>149.85</v>
      </c>
      <c r="O71" s="145">
        <v>150.74</v>
      </c>
      <c r="P71" s="145">
        <v>150.41999999999999</v>
      </c>
      <c r="Q71" s="151">
        <v>0.3256880733944954</v>
      </c>
      <c r="R71" s="151">
        <v>0.26666666666666666</v>
      </c>
      <c r="S71" s="151">
        <v>0.29365079365079366</v>
      </c>
      <c r="T71" s="153">
        <v>0.78820000000000001</v>
      </c>
      <c r="U71" s="140">
        <v>2.35E-2</v>
      </c>
      <c r="V71" s="155">
        <v>5</v>
      </c>
      <c r="W71" s="140">
        <f>(1-0)/10</f>
        <v>0.1</v>
      </c>
      <c r="X71" s="140">
        <f>9/10</f>
        <v>0.9</v>
      </c>
      <c r="Y71" s="155">
        <v>6</v>
      </c>
      <c r="Z71" s="140">
        <f>Y71/'Master''s (1 yr)'!E72</f>
        <v>0.25</v>
      </c>
    </row>
    <row r="72" spans="1:26" x14ac:dyDescent="0.25">
      <c r="A72" s="154" t="s">
        <v>75</v>
      </c>
      <c r="B72" s="154" t="s">
        <v>64</v>
      </c>
      <c r="C72" s="149">
        <v>222</v>
      </c>
      <c r="D72" s="149">
        <v>81</v>
      </c>
      <c r="E72" s="148">
        <v>42.2</v>
      </c>
      <c r="F72" s="148">
        <v>11.6</v>
      </c>
      <c r="G72" s="148">
        <v>8.8000000000000007</v>
      </c>
      <c r="H72" s="147">
        <v>3.4914888457446813</v>
      </c>
      <c r="I72" s="156">
        <v>3.6374999285714287</v>
      </c>
      <c r="J72" s="156">
        <v>3.630952047619048</v>
      </c>
      <c r="K72" s="145">
        <v>148.13</v>
      </c>
      <c r="L72" s="145">
        <v>149.33000000000001</v>
      </c>
      <c r="M72" s="145">
        <v>149.66</v>
      </c>
      <c r="N72" s="152">
        <v>157.13541666666666</v>
      </c>
      <c r="O72" s="145">
        <v>160.75862068965517</v>
      </c>
      <c r="P72" s="159">
        <v>159.91999999999999</v>
      </c>
      <c r="Q72" s="151">
        <v>0.12322274881516587</v>
      </c>
      <c r="R72" s="151">
        <v>0.10344827586206896</v>
      </c>
      <c r="S72" s="151">
        <v>6.8181818181818177E-2</v>
      </c>
      <c r="T72" s="153">
        <v>0.42309999999999998</v>
      </c>
      <c r="U72" s="140">
        <v>3.85E-2</v>
      </c>
      <c r="V72" s="155">
        <v>2</v>
      </c>
      <c r="W72" s="140">
        <f>(2-0)/6</f>
        <v>0.33333333333333331</v>
      </c>
      <c r="X72" s="140">
        <f>4/6</f>
        <v>0.66666666666666663</v>
      </c>
      <c r="Y72" s="155">
        <v>2</v>
      </c>
      <c r="Z72" s="140">
        <f>Y72/'Master''s (1 yr)'!E73</f>
        <v>0.13333333333333333</v>
      </c>
    </row>
    <row r="73" spans="1:26" x14ac:dyDescent="0.25">
      <c r="A73" s="154" t="s">
        <v>258</v>
      </c>
      <c r="B73" s="154" t="s">
        <v>238</v>
      </c>
      <c r="C73" s="149">
        <v>211</v>
      </c>
      <c r="D73" s="149">
        <v>82</v>
      </c>
      <c r="E73" s="148">
        <v>41.4</v>
      </c>
      <c r="F73" s="148">
        <v>19.600000000000001</v>
      </c>
      <c r="G73" s="148">
        <v>18</v>
      </c>
      <c r="H73" s="147">
        <v>3.4194803246753254</v>
      </c>
      <c r="I73" s="156">
        <v>3.4148934680851069</v>
      </c>
      <c r="J73" s="156">
        <v>3.4022725681818184</v>
      </c>
      <c r="K73" s="145">
        <v>152.34</v>
      </c>
      <c r="L73" s="145">
        <v>149.13999999999999</v>
      </c>
      <c r="M73" s="145">
        <v>148.69999999999999</v>
      </c>
      <c r="N73" s="152">
        <v>148.96756756756756</v>
      </c>
      <c r="O73" s="145">
        <v>148.85567010309279</v>
      </c>
      <c r="P73" s="159">
        <v>148.73118279569891</v>
      </c>
      <c r="Q73" s="151">
        <v>7.2463768115942032E-2</v>
      </c>
      <c r="R73" s="151">
        <v>9.1836734693877556E-2</v>
      </c>
      <c r="S73" s="151">
        <v>0.1</v>
      </c>
      <c r="T73" s="153">
        <v>0.55000000000000004</v>
      </c>
      <c r="U73" s="140">
        <v>0.4083</v>
      </c>
      <c r="V73" s="155">
        <v>5</v>
      </c>
      <c r="W73" s="140">
        <f>(1-0)/2</f>
        <v>0.5</v>
      </c>
      <c r="X73" s="140">
        <f>1/2</f>
        <v>0.5</v>
      </c>
      <c r="Y73" s="155">
        <v>22</v>
      </c>
      <c r="Z73" s="140">
        <f>Y73/'Master''s (1 yr)'!E74</f>
        <v>0.57894736842105265</v>
      </c>
    </row>
    <row r="74" spans="1:26" x14ac:dyDescent="0.25">
      <c r="A74" s="154" t="s">
        <v>35</v>
      </c>
      <c r="B74" s="154" t="s">
        <v>159</v>
      </c>
      <c r="C74" s="149">
        <v>216</v>
      </c>
      <c r="D74" s="149">
        <v>83</v>
      </c>
      <c r="E74" s="148">
        <v>541</v>
      </c>
      <c r="F74" s="148">
        <v>263</v>
      </c>
      <c r="G74" s="148">
        <v>120</v>
      </c>
      <c r="H74" s="147">
        <v>3.2349510889967625</v>
      </c>
      <c r="I74" s="156">
        <v>3.2832555558139531</v>
      </c>
      <c r="J74" s="156">
        <v>3.2739491708683475</v>
      </c>
      <c r="K74" s="145">
        <v>159.72</v>
      </c>
      <c r="L74" s="145">
        <v>160.25</v>
      </c>
      <c r="M74" s="145">
        <v>157.31</v>
      </c>
      <c r="N74" s="152">
        <v>151.48528209321341</v>
      </c>
      <c r="O74" s="145">
        <v>152.74583002382843</v>
      </c>
      <c r="P74" s="159">
        <v>151.78290598290599</v>
      </c>
      <c r="Q74" s="151">
        <v>6.6543438077634007E-2</v>
      </c>
      <c r="R74" s="151">
        <v>8.9733840304182508E-2</v>
      </c>
      <c r="S74" s="151">
        <v>0.17333333333333337</v>
      </c>
      <c r="T74" s="153">
        <v>0.1053</v>
      </c>
      <c r="U74" s="140">
        <v>0.1053</v>
      </c>
      <c r="V74" s="155">
        <v>0</v>
      </c>
      <c r="W74" s="140">
        <f>(0-0)/8</f>
        <v>0</v>
      </c>
      <c r="X74" s="140">
        <f>8/8</f>
        <v>1</v>
      </c>
      <c r="Y74" s="155">
        <v>0</v>
      </c>
      <c r="Z74" s="140">
        <f>Y74/'Master''s (1 yr)'!E75</f>
        <v>0</v>
      </c>
    </row>
    <row r="75" spans="1:26" x14ac:dyDescent="0.25">
      <c r="A75" s="154" t="s">
        <v>35</v>
      </c>
      <c r="B75" s="154" t="s">
        <v>238</v>
      </c>
      <c r="C75" s="149">
        <v>216</v>
      </c>
      <c r="D75" s="149">
        <v>83</v>
      </c>
      <c r="E75" s="148">
        <v>541</v>
      </c>
      <c r="F75" s="148">
        <v>263</v>
      </c>
      <c r="G75" s="148">
        <v>120</v>
      </c>
      <c r="H75" s="147">
        <v>3.2349510889967625</v>
      </c>
      <c r="I75" s="156">
        <v>3.2832555558139531</v>
      </c>
      <c r="J75" s="156">
        <v>3.2739491708683475</v>
      </c>
      <c r="K75" s="145">
        <v>159.72</v>
      </c>
      <c r="L75" s="145">
        <v>160.25</v>
      </c>
      <c r="M75" s="145">
        <v>157.31</v>
      </c>
      <c r="N75" s="152">
        <v>151.48528209321341</v>
      </c>
      <c r="O75" s="145">
        <v>152.74583002382843</v>
      </c>
      <c r="P75" s="159">
        <v>151.78290598290599</v>
      </c>
      <c r="Q75" s="151">
        <v>6.6543438077634007E-2</v>
      </c>
      <c r="R75" s="151">
        <v>8.9733840304182508E-2</v>
      </c>
      <c r="S75" s="151">
        <v>0.17333333333333337</v>
      </c>
      <c r="T75" s="153">
        <v>0.2487</v>
      </c>
      <c r="U75" s="140">
        <v>0.27379999999999999</v>
      </c>
      <c r="V75" s="155">
        <v>32</v>
      </c>
      <c r="W75" s="140">
        <f>(1-0)/28</f>
        <v>3.5714285714285712E-2</v>
      </c>
      <c r="X75" s="140">
        <f>27/28</f>
        <v>0.9642857142857143</v>
      </c>
      <c r="Y75" s="155">
        <v>5</v>
      </c>
      <c r="Z75" s="140">
        <f>Y75/'Master''s (1 yr)'!E76</f>
        <v>2.4509803921568627E-2</v>
      </c>
    </row>
    <row r="76" spans="1:26" x14ac:dyDescent="0.25">
      <c r="A76" s="154" t="s">
        <v>316</v>
      </c>
      <c r="B76" s="154" t="s">
        <v>238</v>
      </c>
      <c r="C76" s="149">
        <v>212</v>
      </c>
      <c r="D76" s="149">
        <v>503</v>
      </c>
      <c r="E76" s="148">
        <v>376.2</v>
      </c>
      <c r="F76" s="148">
        <v>296</v>
      </c>
      <c r="G76" s="148">
        <v>103.4</v>
      </c>
      <c r="H76" s="145">
        <v>3.33</v>
      </c>
      <c r="I76" s="145">
        <v>3.37</v>
      </c>
      <c r="J76" s="145">
        <v>3.36</v>
      </c>
      <c r="K76" s="145">
        <v>159.32</v>
      </c>
      <c r="L76" s="145">
        <v>159.72</v>
      </c>
      <c r="M76" s="145">
        <v>157.47</v>
      </c>
      <c r="N76" s="152">
        <v>151.56943056943058</v>
      </c>
      <c r="O76" s="145">
        <v>152.3245508982036</v>
      </c>
      <c r="P76" s="159">
        <v>150.76150627615064</v>
      </c>
      <c r="Q76" s="151">
        <v>3.6682615629984053E-2</v>
      </c>
      <c r="R76" s="151">
        <v>3.4459459459459461E-2</v>
      </c>
      <c r="S76" s="151">
        <v>7.7369439071566737E-2</v>
      </c>
      <c r="T76" s="153">
        <v>0.42899999999999999</v>
      </c>
      <c r="U76" s="140">
        <v>0.75349999999999995</v>
      </c>
      <c r="V76" s="155">
        <v>14</v>
      </c>
      <c r="W76" s="140">
        <f>(1-0)/8</f>
        <v>0.125</v>
      </c>
      <c r="X76" s="140">
        <f>7/8</f>
        <v>0.875</v>
      </c>
      <c r="Y76" s="155">
        <v>0</v>
      </c>
      <c r="Z76" s="140">
        <f>Y76/'Master''s (1 yr)'!E77</f>
        <v>0</v>
      </c>
    </row>
    <row r="77" spans="1:26" x14ac:dyDescent="0.25">
      <c r="A77" s="150" t="s">
        <v>260</v>
      </c>
      <c r="B77" s="150" t="s">
        <v>238</v>
      </c>
      <c r="C77" s="160">
        <v>211</v>
      </c>
      <c r="D77" s="160">
        <v>84</v>
      </c>
      <c r="E77" s="128">
        <v>45.8</v>
      </c>
      <c r="F77" s="90">
        <v>13</v>
      </c>
      <c r="G77" s="128">
        <v>11</v>
      </c>
      <c r="H77" s="90">
        <v>3.51</v>
      </c>
      <c r="I77" s="90">
        <v>3.52</v>
      </c>
      <c r="J77" s="90">
        <v>3.52</v>
      </c>
      <c r="K77" s="90">
        <v>153.02000000000001</v>
      </c>
      <c r="L77" s="90">
        <v>152.63999999999999</v>
      </c>
      <c r="M77" s="90">
        <v>152.47999999999999</v>
      </c>
      <c r="N77" s="161">
        <v>154.93</v>
      </c>
      <c r="O77" s="90">
        <v>155.86000000000001</v>
      </c>
      <c r="P77" s="91">
        <v>155.03</v>
      </c>
      <c r="Q77" s="151">
        <v>9.1700000000000004E-2</v>
      </c>
      <c r="R77" s="151">
        <v>6.1500000000000006E-2</v>
      </c>
      <c r="S77" s="151">
        <v>7.2700000000000001E-2</v>
      </c>
      <c r="T77" s="153">
        <v>0.70589999999999997</v>
      </c>
      <c r="U77" s="140">
        <v>0.15290000000000001</v>
      </c>
      <c r="V77" s="155">
        <v>3</v>
      </c>
      <c r="W77" s="140">
        <f>(1-0)/2</f>
        <v>0.5</v>
      </c>
      <c r="X77" s="140">
        <f>1/2</f>
        <v>0.5</v>
      </c>
      <c r="Y77" s="155">
        <v>17</v>
      </c>
      <c r="Z77" s="140">
        <f>Y77/'Master''s (1 yr)'!E78</f>
        <v>0.65384615384615385</v>
      </c>
    </row>
    <row r="78" spans="1:26" x14ac:dyDescent="0.25">
      <c r="A78" s="154" t="s">
        <v>117</v>
      </c>
      <c r="B78" s="154" t="s">
        <v>64</v>
      </c>
      <c r="C78" s="149">
        <v>212</v>
      </c>
      <c r="D78" s="149">
        <v>485</v>
      </c>
      <c r="E78" s="148">
        <v>243.6</v>
      </c>
      <c r="F78" s="148">
        <v>171.2</v>
      </c>
      <c r="G78" s="148">
        <v>122.8</v>
      </c>
      <c r="H78" s="145">
        <v>3.44</v>
      </c>
      <c r="I78" s="145">
        <v>3.49</v>
      </c>
      <c r="J78" s="145">
        <v>3.48</v>
      </c>
      <c r="K78" s="145">
        <v>152.75</v>
      </c>
      <c r="L78" s="145">
        <v>152.57</v>
      </c>
      <c r="M78" s="145">
        <v>151.94</v>
      </c>
      <c r="N78" s="152">
        <v>152.26555023923444</v>
      </c>
      <c r="O78" s="145">
        <v>152.84302325581396</v>
      </c>
      <c r="P78" s="159">
        <v>152.49333333333334</v>
      </c>
      <c r="Q78" s="151">
        <v>0.1174055829228243</v>
      </c>
      <c r="R78" s="151">
        <v>0.125</v>
      </c>
      <c r="S78" s="151">
        <v>0.15472312703583063</v>
      </c>
      <c r="T78" s="153">
        <v>0.62239999999999995</v>
      </c>
      <c r="U78" s="140">
        <v>0.38069999999999998</v>
      </c>
      <c r="V78" s="155">
        <v>18</v>
      </c>
      <c r="W78" s="140">
        <f>(0-0)/44</f>
        <v>0</v>
      </c>
      <c r="X78" s="140">
        <f>44/44</f>
        <v>1</v>
      </c>
      <c r="Y78" s="155">
        <v>0</v>
      </c>
      <c r="Z78" s="140">
        <f>Y78/'Master''s (1 yr)'!E79</f>
        <v>0</v>
      </c>
    </row>
    <row r="79" spans="1:26" x14ac:dyDescent="0.25">
      <c r="A79" s="154" t="s">
        <v>77</v>
      </c>
      <c r="B79" s="154" t="s">
        <v>64</v>
      </c>
      <c r="C79" s="149">
        <v>222</v>
      </c>
      <c r="D79" s="149">
        <v>88</v>
      </c>
      <c r="E79" s="148">
        <v>6.2</v>
      </c>
      <c r="F79" s="148">
        <v>3.4</v>
      </c>
      <c r="G79" s="148">
        <v>2.2000000000000002</v>
      </c>
      <c r="H79" s="147">
        <v>3.4678570714285719</v>
      </c>
      <c r="I79" s="156">
        <v>3.5933330666666663</v>
      </c>
      <c r="J79" s="156">
        <v>3.6</v>
      </c>
      <c r="K79" s="145">
        <v>150.35</v>
      </c>
      <c r="L79" s="145">
        <v>150.6</v>
      </c>
      <c r="M79" s="145">
        <v>152.1</v>
      </c>
      <c r="N79" s="152">
        <v>162.42307692307693</v>
      </c>
      <c r="O79" s="145">
        <v>163.33333333333334</v>
      </c>
      <c r="P79" s="159">
        <v>162.19999999999999</v>
      </c>
      <c r="Q79" s="151">
        <v>0.12903225806451613</v>
      </c>
      <c r="R79" s="151">
        <v>0.23529411764705879</v>
      </c>
      <c r="S79" s="151">
        <v>0.18181818181818182</v>
      </c>
      <c r="T79" s="153">
        <v>1</v>
      </c>
      <c r="U79" s="140">
        <v>0</v>
      </c>
      <c r="V79" s="155">
        <v>0</v>
      </c>
      <c r="W79" s="140">
        <f>(0-0)/1</f>
        <v>0</v>
      </c>
      <c r="X79" s="140">
        <f>1/1</f>
        <v>1</v>
      </c>
      <c r="Y79" s="155">
        <v>0</v>
      </c>
      <c r="Z79" s="140">
        <v>0</v>
      </c>
    </row>
    <row r="80" spans="1:26" x14ac:dyDescent="0.25">
      <c r="A80" s="154" t="s">
        <v>79</v>
      </c>
      <c r="B80" s="154" t="s">
        <v>64</v>
      </c>
      <c r="C80" s="149">
        <v>222</v>
      </c>
      <c r="D80" s="149">
        <v>89</v>
      </c>
      <c r="E80" s="148">
        <v>60</v>
      </c>
      <c r="F80" s="148">
        <v>35.6</v>
      </c>
      <c r="G80" s="148">
        <v>17.600000000000001</v>
      </c>
      <c r="H80" s="147">
        <v>3.4920699074889865</v>
      </c>
      <c r="I80" s="156">
        <v>3.5717387681159418</v>
      </c>
      <c r="J80" s="156">
        <v>3.5529409117647055</v>
      </c>
      <c r="K80" s="145">
        <v>148.6</v>
      </c>
      <c r="L80" s="145">
        <v>149.9</v>
      </c>
      <c r="M80" s="145">
        <v>149.16</v>
      </c>
      <c r="N80" s="152">
        <v>154.49230769230769</v>
      </c>
      <c r="O80" s="145">
        <v>155.6878612716763</v>
      </c>
      <c r="P80" s="159">
        <v>155.41176470588235</v>
      </c>
      <c r="Q80" s="151">
        <v>0.28000000000000003</v>
      </c>
      <c r="R80" s="151">
        <v>0.20786516853932585</v>
      </c>
      <c r="S80" s="151">
        <v>0.23863636363636365</v>
      </c>
      <c r="T80" s="153">
        <v>0.69440000000000002</v>
      </c>
      <c r="U80" s="140">
        <v>8.3299999999999999E-2</v>
      </c>
      <c r="V80" s="155">
        <v>7</v>
      </c>
      <c r="W80" s="140">
        <f>(3-1)/10</f>
        <v>0.2</v>
      </c>
      <c r="X80" s="140">
        <f>7/10</f>
        <v>0.7</v>
      </c>
      <c r="Y80" s="155">
        <v>15</v>
      </c>
      <c r="Z80" s="140">
        <f>Y80/'Master''s (1 yr)'!E81</f>
        <v>0.78947368421052633</v>
      </c>
    </row>
    <row r="81" spans="1:26" x14ac:dyDescent="0.25">
      <c r="A81" s="154" t="s">
        <v>81</v>
      </c>
      <c r="B81" s="154" t="s">
        <v>64</v>
      </c>
      <c r="C81" s="149">
        <v>222</v>
      </c>
      <c r="D81" s="149">
        <v>90</v>
      </c>
      <c r="E81" s="148">
        <v>42.6</v>
      </c>
      <c r="F81" s="148">
        <v>15</v>
      </c>
      <c r="G81" s="148">
        <v>8</v>
      </c>
      <c r="H81" s="147">
        <v>3.5112355056179769</v>
      </c>
      <c r="I81" s="156">
        <v>3.5754712264150945</v>
      </c>
      <c r="J81" s="156">
        <v>3.5258062258064515</v>
      </c>
      <c r="K81" s="145">
        <v>149.97999999999999</v>
      </c>
      <c r="L81" s="145">
        <v>151.91</v>
      </c>
      <c r="M81" s="145">
        <v>150.44999999999999</v>
      </c>
      <c r="N81" s="152">
        <v>152.31736526946108</v>
      </c>
      <c r="O81" s="145">
        <v>155.49333333333334</v>
      </c>
      <c r="P81" s="159">
        <v>153.54545454545453</v>
      </c>
      <c r="Q81" s="151">
        <v>7.9812206572769953E-2</v>
      </c>
      <c r="R81" s="151">
        <v>5.3333333333333337E-2</v>
      </c>
      <c r="S81" s="151">
        <v>7.4999999999999997E-2</v>
      </c>
      <c r="T81" s="153">
        <v>0.54049999999999998</v>
      </c>
      <c r="U81" s="140">
        <v>0.45950000000000002</v>
      </c>
      <c r="V81" s="155">
        <v>1</v>
      </c>
      <c r="W81" s="140">
        <v>0</v>
      </c>
      <c r="X81" s="140">
        <v>0</v>
      </c>
      <c r="Y81" s="155">
        <v>3</v>
      </c>
      <c r="Z81" s="140">
        <f>Y81/'Master''s (1 yr)'!E82</f>
        <v>0.25</v>
      </c>
    </row>
    <row r="82" spans="1:26" x14ac:dyDescent="0.25">
      <c r="A82" s="154" t="s">
        <v>300</v>
      </c>
      <c r="B82" s="154" t="s">
        <v>238</v>
      </c>
      <c r="C82" s="149">
        <v>212</v>
      </c>
      <c r="D82" s="149">
        <v>460</v>
      </c>
      <c r="E82" s="148">
        <v>187.2</v>
      </c>
      <c r="F82" s="148">
        <v>134.4</v>
      </c>
      <c r="G82" s="148">
        <v>106.2</v>
      </c>
      <c r="H82" s="162">
        <v>3.37</v>
      </c>
      <c r="I82" s="156">
        <v>3.42</v>
      </c>
      <c r="J82" s="156">
        <v>3.42</v>
      </c>
      <c r="K82" s="145">
        <v>151.11000000000001</v>
      </c>
      <c r="L82" s="145">
        <v>151.53</v>
      </c>
      <c r="M82" s="145">
        <v>150.5</v>
      </c>
      <c r="N82" s="152">
        <v>152.02559726962457</v>
      </c>
      <c r="O82" s="145">
        <v>152.70954356846474</v>
      </c>
      <c r="P82" s="159">
        <v>152.58313253012048</v>
      </c>
      <c r="Q82" s="151">
        <v>0.18379999999999999</v>
      </c>
      <c r="R82" s="151">
        <v>0.18600000000000003</v>
      </c>
      <c r="S82" s="151">
        <v>0.2109</v>
      </c>
      <c r="T82" s="153">
        <v>0.47339999999999999</v>
      </c>
      <c r="U82" s="140">
        <v>0.26329999999999998</v>
      </c>
      <c r="V82" s="155">
        <v>35</v>
      </c>
      <c r="W82" s="140">
        <f>(10-0)/69</f>
        <v>0.14492753623188406</v>
      </c>
      <c r="X82" s="140">
        <f>59/69</f>
        <v>0.85507246376811596</v>
      </c>
      <c r="Y82" s="155">
        <v>1</v>
      </c>
      <c r="Z82" s="140">
        <f>Y82/'Master''s (1 yr)'!E83</f>
        <v>6.993006993006993E-3</v>
      </c>
    </row>
    <row r="83" spans="1:26" x14ac:dyDescent="0.25">
      <c r="A83" s="154" t="s">
        <v>14</v>
      </c>
      <c r="B83" s="154" t="s">
        <v>124</v>
      </c>
      <c r="C83" s="149">
        <v>215</v>
      </c>
      <c r="D83" s="149">
        <v>91</v>
      </c>
      <c r="E83" s="148">
        <v>39.200000000000003</v>
      </c>
      <c r="F83" s="148">
        <v>17.399999999999999</v>
      </c>
      <c r="G83" s="148">
        <v>10.4</v>
      </c>
      <c r="H83" s="163">
        <v>3.5036805276073619</v>
      </c>
      <c r="I83" s="156">
        <v>3.5746830632911388</v>
      </c>
      <c r="J83" s="156">
        <v>3.5869560652173917</v>
      </c>
      <c r="K83" s="145">
        <v>149.55000000000001</v>
      </c>
      <c r="L83" s="145">
        <v>150.78</v>
      </c>
      <c r="M83" s="145">
        <v>150.65</v>
      </c>
      <c r="N83" s="152">
        <v>151.82738095238096</v>
      </c>
      <c r="O83" s="145">
        <v>153.45882352941177</v>
      </c>
      <c r="P83" s="159">
        <v>153.90196078431373</v>
      </c>
      <c r="Q83" s="151">
        <v>0.25</v>
      </c>
      <c r="R83" s="151">
        <v>0.25287356321839083</v>
      </c>
      <c r="S83" s="151">
        <v>0.26923076923076922</v>
      </c>
      <c r="T83" s="153">
        <v>0</v>
      </c>
      <c r="U83" s="140">
        <v>0</v>
      </c>
      <c r="V83" s="155">
        <v>0</v>
      </c>
      <c r="W83" s="140">
        <f>(0-0)/1</f>
        <v>0</v>
      </c>
      <c r="X83" s="140">
        <f>1/1</f>
        <v>1</v>
      </c>
      <c r="Y83" s="155">
        <v>0</v>
      </c>
      <c r="Z83" s="140">
        <v>0</v>
      </c>
    </row>
    <row r="84" spans="1:26" x14ac:dyDescent="0.25">
      <c r="A84" s="154" t="s">
        <v>140</v>
      </c>
      <c r="B84" s="154" t="s">
        <v>141</v>
      </c>
      <c r="C84" s="149">
        <v>220</v>
      </c>
      <c r="D84" s="149">
        <v>92</v>
      </c>
      <c r="E84" s="148">
        <v>337.6</v>
      </c>
      <c r="F84" s="148">
        <v>153.19999999999999</v>
      </c>
      <c r="G84" s="148">
        <v>70</v>
      </c>
      <c r="H84" s="147">
        <v>3.3930262922848673</v>
      </c>
      <c r="I84" s="156">
        <v>3.4549734921465962</v>
      </c>
      <c r="J84" s="156">
        <v>3.3907075884955749</v>
      </c>
      <c r="K84" s="145">
        <v>153.47999999999999</v>
      </c>
      <c r="L84" s="145">
        <v>153.72</v>
      </c>
      <c r="M84" s="145">
        <v>150.87</v>
      </c>
      <c r="N84" s="152">
        <v>153.31667748215443</v>
      </c>
      <c r="O84" s="145">
        <v>156.28194993412384</v>
      </c>
      <c r="P84" s="159">
        <v>154.73065902578796</v>
      </c>
      <c r="Q84" s="151">
        <v>0.11196682464454977</v>
      </c>
      <c r="R84" s="151">
        <v>0.11096605744125326</v>
      </c>
      <c r="S84" s="151">
        <v>0.17142857142857143</v>
      </c>
      <c r="T84" s="153">
        <v>0.74509999999999998</v>
      </c>
      <c r="U84" s="140">
        <v>0.28699999999999998</v>
      </c>
      <c r="V84" s="155">
        <v>56</v>
      </c>
      <c r="W84" s="140">
        <f>(8-1)/34</f>
        <v>0.20588235294117646</v>
      </c>
      <c r="X84" s="140">
        <f>26/34</f>
        <v>0.76470588235294112</v>
      </c>
      <c r="Y84" s="155">
        <v>23</v>
      </c>
      <c r="Z84" s="140">
        <f>Y84/'Master''s (1 yr)'!E85</f>
        <v>8.7121212121212127E-2</v>
      </c>
    </row>
    <row r="85" spans="1:26" x14ac:dyDescent="0.25">
      <c r="A85" s="154" t="s">
        <v>168</v>
      </c>
      <c r="B85" s="154" t="s">
        <v>159</v>
      </c>
      <c r="C85" s="149">
        <v>216</v>
      </c>
      <c r="D85" s="149">
        <v>93</v>
      </c>
      <c r="E85" s="148">
        <v>331</v>
      </c>
      <c r="F85" s="148">
        <v>226</v>
      </c>
      <c r="G85" s="148">
        <v>58.2</v>
      </c>
      <c r="H85" s="147">
        <v>3.3720427258064518</v>
      </c>
      <c r="I85" s="156">
        <v>3.4335764598540144</v>
      </c>
      <c r="J85" s="156">
        <v>3.3943659295774649</v>
      </c>
      <c r="K85" s="152">
        <v>162.64353312302839</v>
      </c>
      <c r="L85" s="145">
        <v>163.24531668153435</v>
      </c>
      <c r="M85" s="145">
        <v>161.57432432432432</v>
      </c>
      <c r="N85" s="152">
        <v>153.27364438839848</v>
      </c>
      <c r="O85" s="145">
        <v>154.63336306868868</v>
      </c>
      <c r="P85" s="159">
        <v>154.14527027027026</v>
      </c>
      <c r="Q85" s="151">
        <v>1.5105740181268883E-2</v>
      </c>
      <c r="R85" s="151">
        <v>1.1504424778761062E-2</v>
      </c>
      <c r="S85" s="151">
        <v>2.4054982817869421E-2</v>
      </c>
      <c r="T85" s="153">
        <v>0.16669999999999999</v>
      </c>
      <c r="U85" s="140">
        <v>0.83330000000000004</v>
      </c>
      <c r="V85" s="155">
        <v>0</v>
      </c>
      <c r="W85" s="140">
        <f>(1-0)/1</f>
        <v>1</v>
      </c>
      <c r="X85" s="140">
        <f>0/1</f>
        <v>0</v>
      </c>
      <c r="Y85" s="155">
        <v>0</v>
      </c>
      <c r="Z85" s="140">
        <f>Y85/'Master''s (1 yr)'!E86</f>
        <v>0</v>
      </c>
    </row>
    <row r="86" spans="1:26" x14ac:dyDescent="0.25">
      <c r="A86" s="154" t="s">
        <v>168</v>
      </c>
      <c r="B86" s="154" t="s">
        <v>238</v>
      </c>
      <c r="C86" s="149">
        <v>216</v>
      </c>
      <c r="D86" s="149">
        <v>93</v>
      </c>
      <c r="E86" s="148">
        <v>331</v>
      </c>
      <c r="F86" s="148">
        <v>226</v>
      </c>
      <c r="G86" s="148">
        <v>58.2</v>
      </c>
      <c r="H86" s="147">
        <v>3.3720427258064518</v>
      </c>
      <c r="I86" s="156">
        <v>3.4335764598540144</v>
      </c>
      <c r="J86" s="156">
        <v>3.3943659295774649</v>
      </c>
      <c r="K86" s="145">
        <v>162.63999999999999</v>
      </c>
      <c r="L86" s="145">
        <v>163.25</v>
      </c>
      <c r="M86" s="145">
        <v>161.57</v>
      </c>
      <c r="N86" s="152">
        <v>153.27364438839848</v>
      </c>
      <c r="O86" s="145">
        <v>154.63336306868868</v>
      </c>
      <c r="P86" s="159">
        <v>154.14527027027026</v>
      </c>
      <c r="Q86" s="151">
        <v>1.5105740181268883E-2</v>
      </c>
      <c r="R86" s="151">
        <v>1.1504424778761062E-2</v>
      </c>
      <c r="S86" s="151">
        <v>2.4054982817869421E-2</v>
      </c>
      <c r="T86" s="153">
        <v>0.20930000000000001</v>
      </c>
      <c r="U86" s="140">
        <v>0.66669999999999996</v>
      </c>
      <c r="V86" s="155">
        <v>7</v>
      </c>
      <c r="W86" s="140">
        <f>(3-1)/16</f>
        <v>0.125</v>
      </c>
      <c r="X86" s="140">
        <f>13/16</f>
        <v>0.8125</v>
      </c>
      <c r="Y86" s="155">
        <v>5</v>
      </c>
      <c r="Z86" s="140">
        <f>Y86/'Master''s (1 yr)'!E87</f>
        <v>2.6041666666666668E-2</v>
      </c>
    </row>
    <row r="87" spans="1:26" x14ac:dyDescent="0.25">
      <c r="A87" s="154" t="s">
        <v>83</v>
      </c>
      <c r="B87" s="154" t="s">
        <v>64</v>
      </c>
      <c r="C87" s="149">
        <v>222</v>
      </c>
      <c r="D87" s="149">
        <v>94</v>
      </c>
      <c r="E87" s="148">
        <v>35</v>
      </c>
      <c r="F87" s="148">
        <v>8.6</v>
      </c>
      <c r="G87" s="148">
        <v>4.2</v>
      </c>
      <c r="H87" s="145">
        <v>3.44</v>
      </c>
      <c r="I87" s="145">
        <v>3.6</v>
      </c>
      <c r="J87" s="145">
        <v>3.59</v>
      </c>
      <c r="K87" s="145">
        <v>161.38</v>
      </c>
      <c r="L87" s="145">
        <v>162.81</v>
      </c>
      <c r="M87" s="145">
        <v>162.72999999999999</v>
      </c>
      <c r="N87" s="152">
        <v>152.98701298701297</v>
      </c>
      <c r="O87" s="145">
        <v>155.41860465116278</v>
      </c>
      <c r="P87" s="159">
        <v>157</v>
      </c>
      <c r="Q87" s="151">
        <v>8.5699999999999998E-2</v>
      </c>
      <c r="R87" s="151">
        <v>2.3300000000000001E-2</v>
      </c>
      <c r="S87" s="151">
        <v>4.7599999999999996E-2</v>
      </c>
      <c r="T87" s="153">
        <v>0</v>
      </c>
      <c r="U87" s="140">
        <v>0</v>
      </c>
      <c r="V87" s="155">
        <v>0</v>
      </c>
      <c r="W87" s="140">
        <v>0</v>
      </c>
      <c r="X87" s="140">
        <v>0</v>
      </c>
      <c r="Y87" s="155">
        <v>0</v>
      </c>
      <c r="Z87" s="140">
        <v>0</v>
      </c>
    </row>
    <row r="88" spans="1:26" x14ac:dyDescent="0.25">
      <c r="A88" s="154" t="s">
        <v>83</v>
      </c>
      <c r="B88" s="154" t="s">
        <v>238</v>
      </c>
      <c r="C88" s="149">
        <v>222</v>
      </c>
      <c r="D88" s="149">
        <v>94</v>
      </c>
      <c r="E88" s="148">
        <v>35</v>
      </c>
      <c r="F88" s="148">
        <v>8.6</v>
      </c>
      <c r="G88" s="148">
        <v>4.2</v>
      </c>
      <c r="H88" s="145">
        <v>3.44</v>
      </c>
      <c r="I88" s="145">
        <v>3.6</v>
      </c>
      <c r="J88" s="145">
        <v>3.59</v>
      </c>
      <c r="K88" s="145">
        <v>161.38</v>
      </c>
      <c r="L88" s="145">
        <v>162.81</v>
      </c>
      <c r="M88" s="145">
        <v>162.72999999999999</v>
      </c>
      <c r="N88" s="152">
        <v>152.98701298701297</v>
      </c>
      <c r="O88" s="145">
        <v>155.41860465116278</v>
      </c>
      <c r="P88" s="159">
        <v>157</v>
      </c>
      <c r="Q88" s="151">
        <v>8.5714285714285715E-2</v>
      </c>
      <c r="R88" s="151">
        <v>2.3255813953488372E-2</v>
      </c>
      <c r="S88" s="151">
        <v>4.7619047619047616E-2</v>
      </c>
      <c r="T88" s="153">
        <v>0.2414</v>
      </c>
      <c r="U88" s="140">
        <v>0.2414</v>
      </c>
      <c r="V88" s="155">
        <v>1</v>
      </c>
      <c r="W88" s="140">
        <f>(1-0)/5</f>
        <v>0.2</v>
      </c>
      <c r="X88" s="140">
        <f>4/5</f>
        <v>0.8</v>
      </c>
      <c r="Y88" s="155">
        <v>2</v>
      </c>
      <c r="Z88" s="140">
        <f>Y88/'Master''s (1 yr)'!E89</f>
        <v>0.15384615384615385</v>
      </c>
    </row>
    <row r="89" spans="1:26" x14ac:dyDescent="0.25">
      <c r="A89" s="154" t="s">
        <v>131</v>
      </c>
      <c r="B89" s="154" t="s">
        <v>124</v>
      </c>
      <c r="C89" s="149">
        <v>215</v>
      </c>
      <c r="D89" s="149">
        <v>95</v>
      </c>
      <c r="E89" s="148">
        <v>12</v>
      </c>
      <c r="F89" s="148">
        <v>6.8</v>
      </c>
      <c r="G89" s="148">
        <v>5</v>
      </c>
      <c r="H89" s="145">
        <v>3.28</v>
      </c>
      <c r="I89" s="145">
        <v>3.34</v>
      </c>
      <c r="J89" s="145">
        <v>3.41</v>
      </c>
      <c r="K89" s="145">
        <v>156.1</v>
      </c>
      <c r="L89" s="145">
        <v>157.03</v>
      </c>
      <c r="M89" s="145">
        <v>156.28</v>
      </c>
      <c r="N89" s="152">
        <v>151.52000000000001</v>
      </c>
      <c r="O89" s="145">
        <v>153.6764705882353</v>
      </c>
      <c r="P89" s="159">
        <v>153.36000000000001</v>
      </c>
      <c r="Q89" s="151">
        <v>8.3333333333333315E-2</v>
      </c>
      <c r="R89" s="151">
        <v>8.8235294117647065E-2</v>
      </c>
      <c r="S89" s="151">
        <v>0.08</v>
      </c>
      <c r="T89" s="153">
        <v>0.5</v>
      </c>
      <c r="U89" s="140">
        <v>0</v>
      </c>
      <c r="V89" s="155">
        <v>0</v>
      </c>
      <c r="W89" s="140">
        <v>0</v>
      </c>
      <c r="X89" s="140">
        <v>0</v>
      </c>
      <c r="Y89" s="155">
        <v>3</v>
      </c>
      <c r="Z89" s="140">
        <f>Y89/'Master''s (1 yr)'!E90</f>
        <v>0.75</v>
      </c>
    </row>
    <row r="90" spans="1:26" x14ac:dyDescent="0.25">
      <c r="A90" s="154" t="s">
        <v>170</v>
      </c>
      <c r="B90" s="154" t="s">
        <v>159</v>
      </c>
      <c r="C90" s="149">
        <v>216</v>
      </c>
      <c r="D90" s="149">
        <v>96</v>
      </c>
      <c r="E90" s="45">
        <v>532.4</v>
      </c>
      <c r="F90" s="44">
        <v>253.2</v>
      </c>
      <c r="G90" s="134">
        <v>101.8</v>
      </c>
      <c r="H90" s="145">
        <v>3.35</v>
      </c>
      <c r="I90" s="145">
        <v>3.45</v>
      </c>
      <c r="J90" s="145">
        <v>3.41</v>
      </c>
      <c r="K90" s="145">
        <v>161.62</v>
      </c>
      <c r="L90" s="145">
        <v>162.47</v>
      </c>
      <c r="M90" s="145">
        <v>161.62</v>
      </c>
      <c r="N90" s="152">
        <v>152.68059577989243</v>
      </c>
      <c r="O90" s="145">
        <v>154.45310015898252</v>
      </c>
      <c r="P90" s="159">
        <v>153.93846153846152</v>
      </c>
      <c r="Q90" s="151">
        <v>2.4793388429752067E-2</v>
      </c>
      <c r="R90" s="151">
        <v>2.2906793048973143E-2</v>
      </c>
      <c r="S90" s="151">
        <v>3.1434184675834968E-2</v>
      </c>
      <c r="T90" s="153">
        <v>0.1081</v>
      </c>
      <c r="U90" s="140">
        <v>0.67569999999999997</v>
      </c>
      <c r="V90" s="155">
        <v>1</v>
      </c>
      <c r="W90" s="140">
        <v>0</v>
      </c>
      <c r="X90" s="140">
        <v>0</v>
      </c>
      <c r="Y90" s="155">
        <v>0</v>
      </c>
      <c r="Z90" s="140">
        <f>Y90/'Master''s (1 yr)'!E91</f>
        <v>0</v>
      </c>
    </row>
    <row r="91" spans="1:26" x14ac:dyDescent="0.25">
      <c r="A91" s="154" t="s">
        <v>170</v>
      </c>
      <c r="B91" s="154" t="s">
        <v>238</v>
      </c>
      <c r="C91" s="149">
        <v>216</v>
      </c>
      <c r="D91" s="149">
        <v>96</v>
      </c>
      <c r="E91" s="45">
        <v>532.4</v>
      </c>
      <c r="F91" s="44">
        <v>253.2</v>
      </c>
      <c r="G91" s="134">
        <v>101.8</v>
      </c>
      <c r="H91" s="145">
        <v>3.35</v>
      </c>
      <c r="I91" s="145">
        <v>3.45</v>
      </c>
      <c r="J91" s="145">
        <v>3.41</v>
      </c>
      <c r="K91" s="145">
        <v>161.62</v>
      </c>
      <c r="L91" s="145">
        <v>162.47</v>
      </c>
      <c r="M91" s="145">
        <v>161.62</v>
      </c>
      <c r="N91" s="152">
        <v>152.68059577989243</v>
      </c>
      <c r="O91" s="145">
        <v>154.45310015898252</v>
      </c>
      <c r="P91" s="159">
        <v>153.93846153846152</v>
      </c>
      <c r="Q91" s="151">
        <v>2.4793388429752067E-2</v>
      </c>
      <c r="R91" s="151">
        <v>2.2906793048973143E-2</v>
      </c>
      <c r="S91" s="151">
        <v>3.1434184675834968E-2</v>
      </c>
      <c r="T91" s="153">
        <v>8.3400000000000002E-2</v>
      </c>
      <c r="U91" s="140">
        <v>0.67290000000000005</v>
      </c>
      <c r="V91" s="155">
        <v>9</v>
      </c>
      <c r="W91" s="140">
        <f>(5-0)/14</f>
        <v>0.35714285714285715</v>
      </c>
      <c r="X91" s="140">
        <f>9/14</f>
        <v>0.6428571428571429</v>
      </c>
      <c r="Y91" s="155">
        <v>8</v>
      </c>
      <c r="Z91" s="140">
        <f>Y91/'Master''s (1 yr)'!E92</f>
        <v>3.4782608695652174E-2</v>
      </c>
    </row>
    <row r="92" spans="1:26" x14ac:dyDescent="0.25">
      <c r="A92" s="154" t="s">
        <v>263</v>
      </c>
      <c r="B92" s="154" t="s">
        <v>238</v>
      </c>
      <c r="C92" s="149">
        <v>223</v>
      </c>
      <c r="D92" s="149">
        <v>97</v>
      </c>
      <c r="E92" s="129">
        <v>30</v>
      </c>
      <c r="F92" s="44">
        <v>14.4</v>
      </c>
      <c r="G92" s="134">
        <v>11.6</v>
      </c>
      <c r="H92" s="147">
        <v>3.3290694999999997</v>
      </c>
      <c r="I92" s="156">
        <v>3.3977270227272727</v>
      </c>
      <c r="J92" s="156">
        <v>3.4083331388888887</v>
      </c>
      <c r="K92" s="145">
        <v>152.96</v>
      </c>
      <c r="L92" s="145">
        <v>154.1</v>
      </c>
      <c r="M92" s="145">
        <v>152.83000000000001</v>
      </c>
      <c r="N92" s="152">
        <v>152.32110091743118</v>
      </c>
      <c r="O92" s="145">
        <v>155.08000000000001</v>
      </c>
      <c r="P92" s="159">
        <v>154.6</v>
      </c>
      <c r="Q92" s="151">
        <v>0.15483870967741936</v>
      </c>
      <c r="R92" s="151">
        <v>0.15277777777777779</v>
      </c>
      <c r="S92" s="151">
        <v>0.15517241379310345</v>
      </c>
      <c r="T92" s="153">
        <v>0.57809999999999995</v>
      </c>
      <c r="U92" s="140">
        <v>7.8100000000000003E-2</v>
      </c>
      <c r="V92" s="155">
        <v>4</v>
      </c>
      <c r="W92" s="140">
        <f>(2-0)/7</f>
        <v>0.2857142857142857</v>
      </c>
      <c r="X92" s="140">
        <f>5/7</f>
        <v>0.7142857142857143</v>
      </c>
      <c r="Y92" s="155">
        <v>7</v>
      </c>
      <c r="Z92" s="140">
        <f>Y92/'Master''s (1 yr)'!E93</f>
        <v>0.41176470588235292</v>
      </c>
    </row>
    <row r="93" spans="1:26" x14ac:dyDescent="0.25">
      <c r="A93" s="154" t="s">
        <v>16</v>
      </c>
      <c r="B93" s="154" t="s">
        <v>124</v>
      </c>
      <c r="C93" s="149">
        <v>215</v>
      </c>
      <c r="D93" s="149">
        <v>98</v>
      </c>
      <c r="E93" s="148">
        <v>41</v>
      </c>
      <c r="F93" s="148">
        <v>12.4</v>
      </c>
      <c r="G93" s="148">
        <v>8.6</v>
      </c>
      <c r="H93" s="163">
        <v>3.5117315474860336</v>
      </c>
      <c r="I93" s="156">
        <v>3.6133330999999997</v>
      </c>
      <c r="J93" s="156">
        <v>3.5880948809523816</v>
      </c>
      <c r="K93" s="145">
        <v>148.72999999999999</v>
      </c>
      <c r="L93" s="145">
        <v>150.34</v>
      </c>
      <c r="M93" s="145">
        <v>149.88</v>
      </c>
      <c r="N93" s="152">
        <v>152.36257309941521</v>
      </c>
      <c r="O93" s="145">
        <v>154.7741935483871</v>
      </c>
      <c r="P93" s="159">
        <v>153.51162790697674</v>
      </c>
      <c r="Q93" s="151">
        <v>0.22926829268292687</v>
      </c>
      <c r="R93" s="151">
        <v>0.22580645161290319</v>
      </c>
      <c r="S93" s="151">
        <v>0.23255813953488372</v>
      </c>
      <c r="T93" s="153">
        <v>0.9</v>
      </c>
      <c r="U93" s="140">
        <v>0</v>
      </c>
      <c r="V93" s="155">
        <v>1</v>
      </c>
      <c r="W93" s="140">
        <f>(0-0)/1</f>
        <v>0</v>
      </c>
      <c r="X93" s="140">
        <f>1/1</f>
        <v>1</v>
      </c>
      <c r="Y93" s="155">
        <v>1</v>
      </c>
      <c r="Z93" s="140">
        <f>Y93/'Master''s (1 yr)'!E94</f>
        <v>0.25</v>
      </c>
    </row>
    <row r="94" spans="1:26" x14ac:dyDescent="0.25">
      <c r="A94" s="154" t="s">
        <v>265</v>
      </c>
      <c r="B94" s="154" t="s">
        <v>238</v>
      </c>
      <c r="C94" s="149">
        <v>211</v>
      </c>
      <c r="D94" s="149">
        <v>99</v>
      </c>
      <c r="E94" s="148">
        <v>18</v>
      </c>
      <c r="F94" s="148">
        <v>6.2</v>
      </c>
      <c r="G94" s="148">
        <v>4.5999999999999996</v>
      </c>
      <c r="H94" s="163">
        <v>3.2239128260869565</v>
      </c>
      <c r="I94" s="156">
        <v>3.25999975</v>
      </c>
      <c r="J94" s="156">
        <v>3.264705823529412</v>
      </c>
      <c r="K94" s="145">
        <v>154.91</v>
      </c>
      <c r="L94" s="145">
        <v>156.41</v>
      </c>
      <c r="M94" s="145">
        <v>155.26</v>
      </c>
      <c r="N94" s="152">
        <v>152.23529411764707</v>
      </c>
      <c r="O94" s="145">
        <v>154.0344827586207</v>
      </c>
      <c r="P94" s="159">
        <v>154</v>
      </c>
      <c r="Q94" s="151">
        <v>0.13333333333333333</v>
      </c>
      <c r="R94" s="151">
        <v>0.12903225806451613</v>
      </c>
      <c r="S94" s="151">
        <v>0.17391304347826086</v>
      </c>
      <c r="T94" s="153">
        <v>0.56669999999999998</v>
      </c>
      <c r="U94" s="140">
        <v>0.33329999999999999</v>
      </c>
      <c r="V94" s="155">
        <v>4</v>
      </c>
      <c r="W94" s="140">
        <f>(0-0)/1</f>
        <v>0</v>
      </c>
      <c r="X94" s="140">
        <f>1/1</f>
        <v>1</v>
      </c>
      <c r="Y94" s="155">
        <v>4</v>
      </c>
      <c r="Z94" s="140">
        <f>Y94/'Master''s (1 yr)'!E95</f>
        <v>0.30769230769230771</v>
      </c>
    </row>
    <row r="95" spans="1:26" x14ac:dyDescent="0.25">
      <c r="A95" s="154" t="s">
        <v>86</v>
      </c>
      <c r="B95" s="154" t="s">
        <v>64</v>
      </c>
      <c r="C95" s="149">
        <v>217</v>
      </c>
      <c r="D95" s="149">
        <v>100</v>
      </c>
      <c r="E95" s="148">
        <v>46</v>
      </c>
      <c r="F95" s="148">
        <v>8.8000000000000007</v>
      </c>
      <c r="G95" s="148">
        <v>5</v>
      </c>
      <c r="H95" s="147">
        <v>3.4810676019417479</v>
      </c>
      <c r="I95" s="156">
        <v>3.6642854285714286</v>
      </c>
      <c r="J95" s="156">
        <v>3.6217391304347832</v>
      </c>
      <c r="K95" s="158">
        <v>146.94999999999999</v>
      </c>
      <c r="L95" s="158">
        <v>148.28</v>
      </c>
      <c r="M95" s="158">
        <v>146.71</v>
      </c>
      <c r="N95" s="152">
        <v>154.50239234449759</v>
      </c>
      <c r="O95" s="145">
        <v>158.27906976744185</v>
      </c>
      <c r="P95" s="159">
        <v>157.57142857142858</v>
      </c>
      <c r="Q95" s="151">
        <v>0.15652173913043479</v>
      </c>
      <c r="R95" s="151">
        <v>9.0909090909090912E-2</v>
      </c>
      <c r="S95" s="151">
        <v>0.2</v>
      </c>
      <c r="T95" s="153">
        <v>0.97619999999999996</v>
      </c>
      <c r="U95" s="140">
        <v>2.3800000000000002E-2</v>
      </c>
      <c r="V95" s="155">
        <v>1</v>
      </c>
      <c r="W95" s="140">
        <f>(1-0)/2</f>
        <v>0.5</v>
      </c>
      <c r="X95" s="140">
        <f>1/2</f>
        <v>0.5</v>
      </c>
      <c r="Y95" s="155">
        <v>9</v>
      </c>
      <c r="Z95" s="140">
        <f>Y95/'Master''s (1 yr)'!E96</f>
        <v>0.6428571428571429</v>
      </c>
    </row>
    <row r="96" spans="1:26" x14ac:dyDescent="0.25">
      <c r="A96" s="154" t="s">
        <v>172</v>
      </c>
      <c r="B96" s="154" t="s">
        <v>159</v>
      </c>
      <c r="C96" s="149">
        <v>216</v>
      </c>
      <c r="D96" s="149">
        <v>103</v>
      </c>
      <c r="E96" s="148">
        <v>64.8</v>
      </c>
      <c r="F96" s="148">
        <v>19.2</v>
      </c>
      <c r="G96" s="148">
        <v>8.8000000000000007</v>
      </c>
      <c r="H96" s="162">
        <v>3.4013331333333343</v>
      </c>
      <c r="I96" s="156">
        <v>3.580246654320987</v>
      </c>
      <c r="J96" s="156">
        <v>3.5027776388888885</v>
      </c>
      <c r="K96" s="145">
        <v>158.13</v>
      </c>
      <c r="L96" s="145">
        <v>159.80000000000001</v>
      </c>
      <c r="M96" s="145">
        <v>158.1</v>
      </c>
      <c r="N96" s="152">
        <v>153.75524475524475</v>
      </c>
      <c r="O96" s="145">
        <v>155.84210526315789</v>
      </c>
      <c r="P96" s="159">
        <v>154.65384615384616</v>
      </c>
      <c r="Q96" s="151">
        <v>8.9499999999999996E-2</v>
      </c>
      <c r="R96" s="151">
        <v>8.3299999999999999E-2</v>
      </c>
      <c r="S96" s="151">
        <v>0.11359999999999999</v>
      </c>
      <c r="T96" s="153">
        <v>0</v>
      </c>
      <c r="U96" s="140">
        <v>0</v>
      </c>
      <c r="V96" s="155">
        <v>0</v>
      </c>
      <c r="W96" s="140">
        <f>(0-0)/1</f>
        <v>0</v>
      </c>
      <c r="X96" s="140">
        <f>1/1</f>
        <v>1</v>
      </c>
      <c r="Y96" s="155">
        <v>0</v>
      </c>
      <c r="Z96" s="140">
        <v>0</v>
      </c>
    </row>
    <row r="97" spans="1:26" x14ac:dyDescent="0.25">
      <c r="A97" s="154" t="s">
        <v>172</v>
      </c>
      <c r="B97" s="154" t="s">
        <v>238</v>
      </c>
      <c r="C97" s="149">
        <v>216</v>
      </c>
      <c r="D97" s="149">
        <v>103</v>
      </c>
      <c r="E97" s="148">
        <v>64.8</v>
      </c>
      <c r="F97" s="148">
        <v>19.2</v>
      </c>
      <c r="G97" s="148">
        <v>8.8000000000000007</v>
      </c>
      <c r="H97" s="162">
        <v>3.4013331333333343</v>
      </c>
      <c r="I97" s="156">
        <v>3.580246654320987</v>
      </c>
      <c r="J97" s="156">
        <v>3.5027776388888885</v>
      </c>
      <c r="K97" s="145">
        <v>158.13</v>
      </c>
      <c r="L97" s="145">
        <v>159.80000000000001</v>
      </c>
      <c r="M97" s="145">
        <v>158.1</v>
      </c>
      <c r="N97" s="152">
        <v>153.75524475524475</v>
      </c>
      <c r="O97" s="145">
        <v>155.84210526315789</v>
      </c>
      <c r="P97" s="159">
        <v>154.65384615384616</v>
      </c>
      <c r="Q97" s="151">
        <v>8.9499999999999996E-2</v>
      </c>
      <c r="R97" s="151">
        <v>8.3299999999999999E-2</v>
      </c>
      <c r="S97" s="151">
        <v>0.11359999999999999</v>
      </c>
      <c r="T97" s="153">
        <v>0.13039999999999999</v>
      </c>
      <c r="U97" s="140">
        <v>0.26090000000000002</v>
      </c>
      <c r="V97" s="155">
        <v>1</v>
      </c>
      <c r="W97" s="140">
        <f>(0-0)/8</f>
        <v>0</v>
      </c>
      <c r="X97" s="140">
        <f>8/8</f>
        <v>1</v>
      </c>
      <c r="Y97" s="155">
        <v>2</v>
      </c>
      <c r="Z97" s="140">
        <f>Y97/'Master''s (1 yr)'!E98</f>
        <v>0.18181818181818182</v>
      </c>
    </row>
    <row r="98" spans="1:26" x14ac:dyDescent="0.25">
      <c r="A98" s="154" t="s">
        <v>327</v>
      </c>
      <c r="B98" s="154" t="s">
        <v>328</v>
      </c>
      <c r="C98" s="149">
        <v>226</v>
      </c>
      <c r="D98" s="149">
        <v>107</v>
      </c>
      <c r="E98" s="148">
        <v>484.6</v>
      </c>
      <c r="F98" s="148">
        <v>316</v>
      </c>
      <c r="G98" s="148">
        <v>265.60000000000002</v>
      </c>
      <c r="H98" s="147">
        <v>3.2121321876172604</v>
      </c>
      <c r="I98" s="156">
        <v>3.2502660497335705</v>
      </c>
      <c r="J98" s="156">
        <v>3.2422148871473353</v>
      </c>
      <c r="K98" s="145">
        <v>148.5</v>
      </c>
      <c r="L98" s="145">
        <v>149.18</v>
      </c>
      <c r="M98" s="145">
        <v>149.02000000000001</v>
      </c>
      <c r="N98" s="152">
        <v>150.58440514469453</v>
      </c>
      <c r="O98" s="145">
        <v>152.12313003452243</v>
      </c>
      <c r="P98" s="159">
        <v>152.03155339805826</v>
      </c>
      <c r="Q98" s="151">
        <v>0.24638877424680147</v>
      </c>
      <c r="R98" s="151">
        <v>0.20632911392405062</v>
      </c>
      <c r="S98" s="151">
        <v>0.20557228915662651</v>
      </c>
      <c r="T98" s="153">
        <v>0.66600000000000004</v>
      </c>
      <c r="U98" s="140">
        <v>4.9000000000000002E-2</v>
      </c>
      <c r="V98" s="155">
        <v>87</v>
      </c>
      <c r="W98" s="140">
        <f>(31-0)/83</f>
        <v>0.37349397590361444</v>
      </c>
      <c r="X98" s="140">
        <f>52/83</f>
        <v>0.62650602409638556</v>
      </c>
      <c r="Y98" s="155">
        <v>1</v>
      </c>
      <c r="Z98" s="140">
        <f>Y98/'Master''s (1 yr)'!E99</f>
        <v>2.1008403361344537E-3</v>
      </c>
    </row>
    <row r="99" spans="1:26" x14ac:dyDescent="0.25">
      <c r="A99" s="154" t="s">
        <v>88</v>
      </c>
      <c r="B99" s="154" t="s">
        <v>64</v>
      </c>
      <c r="C99" s="149">
        <v>222</v>
      </c>
      <c r="D99" s="149">
        <v>108</v>
      </c>
      <c r="E99" s="148">
        <v>7.8</v>
      </c>
      <c r="F99" s="148">
        <v>2.2000000000000002</v>
      </c>
      <c r="G99" s="148">
        <v>1.4</v>
      </c>
      <c r="H99" s="163">
        <v>3.4884613846153845</v>
      </c>
      <c r="I99" s="156">
        <v>3.4857142857142853</v>
      </c>
      <c r="J99" s="156">
        <v>3.5750000000000002</v>
      </c>
      <c r="K99" s="145">
        <v>151.34</v>
      </c>
      <c r="L99" s="145">
        <v>153.82</v>
      </c>
      <c r="M99" s="145">
        <v>153.43</v>
      </c>
      <c r="N99" s="152">
        <v>156.11428571428573</v>
      </c>
      <c r="O99" s="145">
        <v>157.45454545454547</v>
      </c>
      <c r="P99" s="159">
        <v>157.28571428571428</v>
      </c>
      <c r="Q99" s="151">
        <v>0.10256410256410256</v>
      </c>
      <c r="R99" s="151">
        <v>9.0909090909090912E-2</v>
      </c>
      <c r="S99" s="151">
        <v>0.14285714285714285</v>
      </c>
      <c r="T99" s="153">
        <v>0.25</v>
      </c>
      <c r="U99" s="140">
        <v>0.25</v>
      </c>
      <c r="V99" s="155">
        <v>0</v>
      </c>
      <c r="W99" s="140">
        <v>0</v>
      </c>
      <c r="X99" s="140">
        <v>0</v>
      </c>
      <c r="Y99" s="155">
        <v>7</v>
      </c>
      <c r="Z99" s="140">
        <f>Y99/'Master''s (1 yr)'!E100</f>
        <v>1</v>
      </c>
    </row>
    <row r="100" spans="1:26" x14ac:dyDescent="0.25">
      <c r="A100" s="154" t="s">
        <v>267</v>
      </c>
      <c r="B100" s="154" t="s">
        <v>238</v>
      </c>
      <c r="C100" s="149">
        <v>222</v>
      </c>
      <c r="D100" s="149">
        <v>110</v>
      </c>
      <c r="E100" s="148">
        <v>6.4</v>
      </c>
      <c r="F100" s="148">
        <v>0</v>
      </c>
      <c r="G100" s="148">
        <v>0</v>
      </c>
      <c r="H100" s="147">
        <v>3.1444444444444444</v>
      </c>
      <c r="I100" s="156"/>
      <c r="J100" s="156"/>
      <c r="K100" s="158">
        <v>159.38</v>
      </c>
      <c r="L100" s="158"/>
      <c r="M100" s="158">
        <v>162</v>
      </c>
      <c r="N100" s="152">
        <v>149.28571428571428</v>
      </c>
      <c r="O100" s="145"/>
      <c r="P100" s="145">
        <v>153</v>
      </c>
      <c r="Q100" s="151">
        <v>3.125E-2</v>
      </c>
      <c r="R100" s="151">
        <v>0</v>
      </c>
      <c r="S100" s="151">
        <v>0</v>
      </c>
      <c r="T100" s="153">
        <v>0.23080000000000001</v>
      </c>
      <c r="U100" s="140">
        <v>7.6899999999999996E-2</v>
      </c>
      <c r="V100" s="155">
        <v>0</v>
      </c>
      <c r="W100" s="140">
        <f>(0-0)/4</f>
        <v>0</v>
      </c>
      <c r="X100" s="140">
        <f>4/4</f>
        <v>1</v>
      </c>
      <c r="Y100" s="155">
        <v>0</v>
      </c>
      <c r="Z100" s="140">
        <f>Y100/'Master''s (1 yr)'!E101</f>
        <v>0</v>
      </c>
    </row>
    <row r="101" spans="1:26" x14ac:dyDescent="0.25">
      <c r="A101" s="154" t="s">
        <v>269</v>
      </c>
      <c r="B101" s="154" t="s">
        <v>238</v>
      </c>
      <c r="C101" s="149">
        <v>211</v>
      </c>
      <c r="D101" s="149">
        <v>112</v>
      </c>
      <c r="E101" s="148">
        <v>3.6</v>
      </c>
      <c r="F101" s="148">
        <v>0.4</v>
      </c>
      <c r="G101" s="148">
        <v>0.4</v>
      </c>
      <c r="H101" s="147">
        <v>3.1</v>
      </c>
      <c r="I101" s="156">
        <v>3.1</v>
      </c>
      <c r="J101" s="156">
        <v>3.1</v>
      </c>
      <c r="K101" s="145">
        <v>158.80000000000001</v>
      </c>
      <c r="L101" s="145">
        <v>147.5</v>
      </c>
      <c r="M101" s="145">
        <v>147.5</v>
      </c>
      <c r="N101" s="152">
        <v>149</v>
      </c>
      <c r="O101" s="145">
        <v>154</v>
      </c>
      <c r="P101" s="159">
        <v>154</v>
      </c>
      <c r="Q101" s="151">
        <v>0</v>
      </c>
      <c r="R101" s="151">
        <v>0</v>
      </c>
      <c r="S101" s="151">
        <v>0</v>
      </c>
      <c r="T101" s="153">
        <v>0.75</v>
      </c>
      <c r="U101" s="140">
        <v>0.5</v>
      </c>
      <c r="V101" s="155">
        <v>0</v>
      </c>
      <c r="W101" s="140">
        <f>(0-0)/1</f>
        <v>0</v>
      </c>
      <c r="X101" s="140">
        <f>1/1</f>
        <v>1</v>
      </c>
      <c r="Y101" s="155">
        <v>1</v>
      </c>
      <c r="Z101" s="140">
        <f>Y101/'Master''s (1 yr)'!E102</f>
        <v>1</v>
      </c>
    </row>
    <row r="102" spans="1:26" x14ac:dyDescent="0.25">
      <c r="A102" s="154" t="s">
        <v>269</v>
      </c>
      <c r="B102" s="154" t="s">
        <v>238</v>
      </c>
      <c r="C102" s="149">
        <v>222</v>
      </c>
      <c r="D102" s="149">
        <v>112</v>
      </c>
      <c r="E102" s="148">
        <v>0</v>
      </c>
      <c r="F102" s="148">
        <v>0</v>
      </c>
      <c r="G102" s="148">
        <v>0</v>
      </c>
      <c r="H102" s="147">
        <v>3.1</v>
      </c>
      <c r="I102" s="156">
        <v>3.1</v>
      </c>
      <c r="J102" s="156">
        <v>3.1</v>
      </c>
      <c r="K102" s="145">
        <v>158.80000000000001</v>
      </c>
      <c r="L102" s="145">
        <v>147.5</v>
      </c>
      <c r="M102" s="145">
        <v>147.5</v>
      </c>
      <c r="N102" s="152">
        <v>149</v>
      </c>
      <c r="O102" s="145">
        <v>154</v>
      </c>
      <c r="P102" s="159">
        <v>154</v>
      </c>
      <c r="Q102" s="151">
        <v>0</v>
      </c>
      <c r="R102" s="151">
        <v>0</v>
      </c>
      <c r="S102" s="151">
        <v>0</v>
      </c>
      <c r="T102" s="153">
        <v>0</v>
      </c>
      <c r="U102" s="140">
        <v>0</v>
      </c>
      <c r="V102" s="155">
        <v>0</v>
      </c>
      <c r="W102" s="140">
        <v>0</v>
      </c>
      <c r="X102" s="140">
        <v>0</v>
      </c>
      <c r="Y102" s="155">
        <v>0</v>
      </c>
      <c r="Z102" s="140">
        <v>0</v>
      </c>
    </row>
    <row r="103" spans="1:26" x14ac:dyDescent="0.25">
      <c r="A103" s="154" t="s">
        <v>271</v>
      </c>
      <c r="B103" s="154" t="s">
        <v>238</v>
      </c>
      <c r="C103" s="149">
        <v>211</v>
      </c>
      <c r="D103" s="149">
        <v>113</v>
      </c>
      <c r="E103" s="148">
        <v>9</v>
      </c>
      <c r="F103" s="148">
        <v>2.8</v>
      </c>
      <c r="G103" s="148">
        <v>2.6</v>
      </c>
      <c r="H103" s="147">
        <v>3.194444277777778</v>
      </c>
      <c r="I103" s="156">
        <v>3.28</v>
      </c>
      <c r="J103" s="156">
        <v>3.2</v>
      </c>
      <c r="K103" s="145">
        <v>155.62</v>
      </c>
      <c r="L103" s="145">
        <v>152.71</v>
      </c>
      <c r="M103" s="145">
        <v>153.15</v>
      </c>
      <c r="N103" s="152">
        <v>151.57142857142858</v>
      </c>
      <c r="O103" s="145">
        <v>152.07142857142858</v>
      </c>
      <c r="P103" s="159">
        <v>152.46153846153845</v>
      </c>
      <c r="Q103" s="151">
        <v>2.2222222222222223E-2</v>
      </c>
      <c r="R103" s="151">
        <v>7.1428571428571425E-2</v>
      </c>
      <c r="S103" s="151">
        <v>7.6923076923076927E-2</v>
      </c>
      <c r="T103" s="153">
        <v>0.68969999999999998</v>
      </c>
      <c r="U103" s="140">
        <v>0.6552</v>
      </c>
      <c r="V103" s="155">
        <v>1</v>
      </c>
      <c r="W103" s="140">
        <f>(0-0)/1</f>
        <v>0</v>
      </c>
      <c r="X103" s="140">
        <f>1/1</f>
        <v>1</v>
      </c>
      <c r="Y103" s="155">
        <v>11</v>
      </c>
      <c r="Z103" s="140">
        <f>Y103/'Master''s (1 yr)'!E104</f>
        <v>0.91666666666666663</v>
      </c>
    </row>
    <row r="104" spans="1:26" x14ac:dyDescent="0.25">
      <c r="A104" s="154" t="s">
        <v>90</v>
      </c>
      <c r="B104" s="154" t="s">
        <v>64</v>
      </c>
      <c r="C104" s="149">
        <v>222</v>
      </c>
      <c r="D104" s="149">
        <v>114</v>
      </c>
      <c r="E104" s="148">
        <v>57.6</v>
      </c>
      <c r="F104" s="148">
        <v>30.2</v>
      </c>
      <c r="G104" s="148">
        <v>16</v>
      </c>
      <c r="H104" s="147">
        <v>3.3724293551401874</v>
      </c>
      <c r="I104" s="156">
        <v>3.4593748671875</v>
      </c>
      <c r="J104" s="156">
        <v>3.4213332133333334</v>
      </c>
      <c r="K104" s="145">
        <v>149.52000000000001</v>
      </c>
      <c r="L104" s="145">
        <v>150.01</v>
      </c>
      <c r="M104" s="145">
        <v>149.38</v>
      </c>
      <c r="N104" s="152">
        <v>153.52380952380952</v>
      </c>
      <c r="O104" s="145">
        <v>155.64864864864865</v>
      </c>
      <c r="P104" s="159">
        <v>155.6219512195122</v>
      </c>
      <c r="Q104" s="151">
        <v>0.2013888888888889</v>
      </c>
      <c r="R104" s="151">
        <v>0.17218543046357618</v>
      </c>
      <c r="S104" s="151">
        <v>0.17499999999999999</v>
      </c>
      <c r="T104" s="153">
        <v>0.40910000000000002</v>
      </c>
      <c r="U104" s="140">
        <v>0.1439</v>
      </c>
      <c r="V104" s="155">
        <v>9</v>
      </c>
      <c r="W104" s="140">
        <f>(4-1)/10</f>
        <v>0.3</v>
      </c>
      <c r="X104" s="140">
        <f>6/10</f>
        <v>0.6</v>
      </c>
      <c r="Y104" s="155">
        <v>3</v>
      </c>
      <c r="Z104" s="140">
        <f>Y104/'Master''s (1 yr)'!E105</f>
        <v>6.6666666666666666E-2</v>
      </c>
    </row>
    <row r="105" spans="1:26" x14ac:dyDescent="0.25">
      <c r="A105" s="154" t="s">
        <v>102</v>
      </c>
      <c r="B105" s="154" t="s">
        <v>64</v>
      </c>
      <c r="C105" s="149">
        <v>222</v>
      </c>
      <c r="D105" s="149">
        <v>142</v>
      </c>
      <c r="E105" s="148">
        <v>53.8</v>
      </c>
      <c r="F105" s="148">
        <v>9.1999999999999993</v>
      </c>
      <c r="G105" s="148">
        <v>3</v>
      </c>
      <c r="H105" s="147">
        <v>3.4073442259887012</v>
      </c>
      <c r="I105" s="156">
        <v>3.6378373783783786</v>
      </c>
      <c r="J105" s="156">
        <v>3.5727272727272723</v>
      </c>
      <c r="K105" s="145">
        <v>150.04</v>
      </c>
      <c r="L105" s="145">
        <v>151.83000000000001</v>
      </c>
      <c r="M105" s="145">
        <v>151.44</v>
      </c>
      <c r="N105" s="152">
        <v>153.90740740740742</v>
      </c>
      <c r="O105" s="145">
        <v>158.63043478260869</v>
      </c>
      <c r="P105" s="159">
        <v>156.8125</v>
      </c>
      <c r="Q105" s="151">
        <v>0.1449814126394052</v>
      </c>
      <c r="R105" s="151">
        <v>0.13043478260869565</v>
      </c>
      <c r="S105" s="151">
        <v>0.13333333333333333</v>
      </c>
      <c r="T105" s="153">
        <v>0.48</v>
      </c>
      <c r="U105" s="140">
        <v>0.2</v>
      </c>
      <c r="V105" s="155">
        <v>0</v>
      </c>
      <c r="W105" s="140">
        <f>(1-0)/2</f>
        <v>0.5</v>
      </c>
      <c r="X105" s="140">
        <f>1/2</f>
        <v>0.5</v>
      </c>
      <c r="Y105" s="155">
        <v>0</v>
      </c>
      <c r="Z105" s="140">
        <f>Y105/'Master''s (1 yr)'!E106</f>
        <v>0</v>
      </c>
    </row>
    <row r="106" spans="1:26" x14ac:dyDescent="0.25">
      <c r="A106" s="154" t="s">
        <v>92</v>
      </c>
      <c r="B106" s="154" t="s">
        <v>64</v>
      </c>
      <c r="C106" s="149">
        <v>219</v>
      </c>
      <c r="D106" s="149">
        <v>115</v>
      </c>
      <c r="E106" s="45">
        <v>3.2</v>
      </c>
      <c r="F106" s="44">
        <v>0</v>
      </c>
      <c r="G106" s="134">
        <v>0</v>
      </c>
      <c r="H106" s="145">
        <v>3.44</v>
      </c>
      <c r="I106" s="145"/>
      <c r="J106" s="145"/>
      <c r="K106" s="145">
        <v>143.69999999999999</v>
      </c>
      <c r="L106" s="145"/>
      <c r="M106" s="145"/>
      <c r="N106" s="152">
        <v>145.69999999999999</v>
      </c>
      <c r="O106" s="145"/>
      <c r="P106" s="159"/>
      <c r="Q106" s="151">
        <v>0.25</v>
      </c>
      <c r="R106" s="151">
        <v>0</v>
      </c>
      <c r="S106" s="151">
        <v>0</v>
      </c>
      <c r="T106" s="153">
        <v>0</v>
      </c>
      <c r="U106" s="140">
        <v>0</v>
      </c>
      <c r="V106" s="155">
        <v>0</v>
      </c>
      <c r="W106" s="140">
        <v>0</v>
      </c>
      <c r="X106" s="140">
        <v>0</v>
      </c>
      <c r="Y106" s="155">
        <v>0</v>
      </c>
      <c r="Z106" s="140">
        <v>0</v>
      </c>
    </row>
    <row r="107" spans="1:26" x14ac:dyDescent="0.25">
      <c r="A107" s="154" t="s">
        <v>92</v>
      </c>
      <c r="B107" s="154" t="s">
        <v>64</v>
      </c>
      <c r="C107" s="149">
        <v>222</v>
      </c>
      <c r="D107" s="149">
        <v>115</v>
      </c>
      <c r="E107" s="45">
        <v>5.6</v>
      </c>
      <c r="F107" s="44">
        <v>0.2</v>
      </c>
      <c r="G107" s="134">
        <v>0.2</v>
      </c>
      <c r="H107" s="145">
        <v>3.21</v>
      </c>
      <c r="I107" s="145"/>
      <c r="J107" s="145"/>
      <c r="K107" s="152">
        <v>150.73333333333332</v>
      </c>
      <c r="L107" s="145">
        <v>157</v>
      </c>
      <c r="M107" s="145">
        <v>157</v>
      </c>
      <c r="N107" s="152">
        <v>152.53333333333333</v>
      </c>
      <c r="O107" s="145">
        <v>160</v>
      </c>
      <c r="P107" s="145">
        <v>160</v>
      </c>
      <c r="Q107" s="151">
        <v>0.2857142857142857</v>
      </c>
      <c r="R107" s="151">
        <v>0</v>
      </c>
      <c r="S107" s="151">
        <v>0</v>
      </c>
      <c r="T107" s="153">
        <v>0</v>
      </c>
      <c r="U107" s="140">
        <v>0</v>
      </c>
      <c r="V107" s="155">
        <v>0</v>
      </c>
      <c r="W107" s="140">
        <v>0</v>
      </c>
      <c r="X107" s="140">
        <v>0</v>
      </c>
      <c r="Y107" s="155">
        <v>0</v>
      </c>
      <c r="Z107" s="140">
        <v>0</v>
      </c>
    </row>
    <row r="108" spans="1:26" x14ac:dyDescent="0.25">
      <c r="A108" s="154" t="s">
        <v>92</v>
      </c>
      <c r="B108" s="154" t="s">
        <v>238</v>
      </c>
      <c r="C108" s="149">
        <v>222</v>
      </c>
      <c r="D108" s="149">
        <v>115</v>
      </c>
      <c r="E108" s="45">
        <v>5.6</v>
      </c>
      <c r="F108" s="44">
        <v>0</v>
      </c>
      <c r="G108" s="134">
        <v>0.2</v>
      </c>
      <c r="H108" s="145">
        <v>3.21</v>
      </c>
      <c r="I108" s="145"/>
      <c r="J108" s="145"/>
      <c r="K108" s="152">
        <v>150.73333333333332</v>
      </c>
      <c r="L108" s="145">
        <v>157</v>
      </c>
      <c r="M108" s="145">
        <v>157</v>
      </c>
      <c r="N108" s="152">
        <v>152.53333333333333</v>
      </c>
      <c r="O108" s="145">
        <v>160</v>
      </c>
      <c r="P108" s="145">
        <v>160</v>
      </c>
      <c r="Q108" s="151">
        <v>0.2857142857142857</v>
      </c>
      <c r="R108" s="151">
        <v>0</v>
      </c>
      <c r="S108" s="151">
        <v>0</v>
      </c>
      <c r="T108" s="153">
        <v>0.76719999999999999</v>
      </c>
      <c r="U108" s="140">
        <v>0.18099999999999999</v>
      </c>
      <c r="V108" s="155">
        <v>4</v>
      </c>
      <c r="W108" s="140">
        <f>(2-1)/4</f>
        <v>0.25</v>
      </c>
      <c r="X108" s="140">
        <f>2/4</f>
        <v>0.5</v>
      </c>
      <c r="Y108" s="155">
        <v>1</v>
      </c>
      <c r="Z108" s="140">
        <f>Y108/'Master''s (1 yr)'!E109</f>
        <v>2.564102564102564E-2</v>
      </c>
    </row>
    <row r="109" spans="1:26" x14ac:dyDescent="0.25">
      <c r="A109" s="154" t="s">
        <v>92</v>
      </c>
      <c r="B109" s="154" t="s">
        <v>238</v>
      </c>
      <c r="C109" s="149">
        <v>219</v>
      </c>
      <c r="D109" s="149">
        <v>115</v>
      </c>
      <c r="E109" s="45">
        <v>3.2</v>
      </c>
      <c r="F109" s="44">
        <v>0.2</v>
      </c>
      <c r="G109" s="134">
        <v>0</v>
      </c>
      <c r="H109" s="145">
        <v>3.44</v>
      </c>
      <c r="I109" s="145"/>
      <c r="J109" s="145"/>
      <c r="K109" s="145">
        <v>143.69999999999999</v>
      </c>
      <c r="L109" s="145"/>
      <c r="M109" s="145"/>
      <c r="N109" s="152">
        <v>145.69999999999999</v>
      </c>
      <c r="O109" s="145"/>
      <c r="P109" s="159"/>
      <c r="Q109" s="151">
        <v>0.25</v>
      </c>
      <c r="R109" s="151">
        <v>0</v>
      </c>
      <c r="S109" s="151">
        <v>0</v>
      </c>
      <c r="T109" s="153">
        <v>0.72340000000000004</v>
      </c>
      <c r="U109" s="140">
        <v>4.2599999999999999E-2</v>
      </c>
      <c r="V109" s="155">
        <v>4</v>
      </c>
      <c r="W109" s="140">
        <f>(0-0)/2</f>
        <v>0</v>
      </c>
      <c r="X109" s="140">
        <f>2/2</f>
        <v>1</v>
      </c>
      <c r="Y109" s="155">
        <v>0</v>
      </c>
      <c r="Z109" s="140">
        <f>Y109/'Master''s (1 yr)'!E110</f>
        <v>0</v>
      </c>
    </row>
    <row r="110" spans="1:26" x14ac:dyDescent="0.25">
      <c r="A110" s="154" t="s">
        <v>132</v>
      </c>
      <c r="B110" s="154" t="s">
        <v>124</v>
      </c>
      <c r="C110" s="149">
        <v>215</v>
      </c>
      <c r="D110" s="149">
        <v>117</v>
      </c>
      <c r="E110" s="148">
        <v>12.4</v>
      </c>
      <c r="F110" s="148">
        <v>7.6</v>
      </c>
      <c r="G110" s="148">
        <v>5.6</v>
      </c>
      <c r="H110" s="163">
        <v>3.5074072222222221</v>
      </c>
      <c r="I110" s="156">
        <v>3.5342856285714279</v>
      </c>
      <c r="J110" s="156">
        <v>3.4888887777777771</v>
      </c>
      <c r="K110" s="145">
        <v>144.94</v>
      </c>
      <c r="L110" s="145">
        <v>145.53</v>
      </c>
      <c r="M110" s="145">
        <v>144.69999999999999</v>
      </c>
      <c r="N110" s="152">
        <v>151.29166666666666</v>
      </c>
      <c r="O110" s="145">
        <v>152.94444444444446</v>
      </c>
      <c r="P110" s="159">
        <v>152</v>
      </c>
      <c r="Q110" s="151">
        <v>0.371</v>
      </c>
      <c r="R110" s="151">
        <v>0.31579999999999997</v>
      </c>
      <c r="S110" s="151">
        <v>0.32140000000000002</v>
      </c>
      <c r="T110" s="153">
        <v>0</v>
      </c>
      <c r="U110" s="140">
        <v>0</v>
      </c>
      <c r="V110" s="155">
        <v>0</v>
      </c>
      <c r="W110" s="140">
        <v>0</v>
      </c>
      <c r="X110" s="140">
        <v>0</v>
      </c>
      <c r="Y110" s="155">
        <v>0</v>
      </c>
      <c r="Z110" s="140" t="e">
        <f>Y110/'Master''s (1 yr)'!E111</f>
        <v>#DIV/0!</v>
      </c>
    </row>
    <row r="111" spans="1:26" x14ac:dyDescent="0.25">
      <c r="A111" s="154" t="s">
        <v>308</v>
      </c>
      <c r="B111" s="154" t="s">
        <v>238</v>
      </c>
      <c r="C111" s="149">
        <v>212</v>
      </c>
      <c r="D111" s="149">
        <v>473</v>
      </c>
      <c r="E111" s="148">
        <v>48.8</v>
      </c>
      <c r="F111" s="148">
        <v>33.4</v>
      </c>
      <c r="G111" s="148">
        <v>23.6</v>
      </c>
      <c r="H111" s="162">
        <v>3.3088704596774186</v>
      </c>
      <c r="I111" s="156">
        <v>3.3141412222222217</v>
      </c>
      <c r="J111" s="156">
        <v>3.3080456321839082</v>
      </c>
      <c r="K111" s="145">
        <v>155.88</v>
      </c>
      <c r="L111" s="145">
        <v>157.75</v>
      </c>
      <c r="M111" s="145">
        <v>155</v>
      </c>
      <c r="N111" s="145">
        <v>154.41</v>
      </c>
      <c r="O111" s="145">
        <v>157.13</v>
      </c>
      <c r="P111" s="145">
        <v>153.6</v>
      </c>
      <c r="Q111" s="151">
        <v>7.3800000000000004E-2</v>
      </c>
      <c r="R111" s="151">
        <v>6.59E-2</v>
      </c>
      <c r="S111" s="151">
        <v>7.6299999999999993E-2</v>
      </c>
      <c r="T111" s="153">
        <v>0.17860000000000001</v>
      </c>
      <c r="U111" s="140">
        <v>0.25</v>
      </c>
      <c r="V111" s="155">
        <v>1</v>
      </c>
      <c r="W111" s="140">
        <f>(0-0)/12</f>
        <v>0</v>
      </c>
      <c r="X111" s="140">
        <f>12/12</f>
        <v>1</v>
      </c>
      <c r="Y111" s="155">
        <v>4</v>
      </c>
      <c r="Z111" s="140">
        <f>Y111/'Master''s (1 yr)'!E112</f>
        <v>0.13793103448275862</v>
      </c>
    </row>
    <row r="112" spans="1:26" x14ac:dyDescent="0.25">
      <c r="A112" s="154" t="s">
        <v>304</v>
      </c>
      <c r="B112" s="154" t="s">
        <v>238</v>
      </c>
      <c r="C112" s="149">
        <v>218</v>
      </c>
      <c r="D112" s="149">
        <v>468</v>
      </c>
      <c r="E112" s="148">
        <v>36.6</v>
      </c>
      <c r="F112" s="148">
        <v>20.2</v>
      </c>
      <c r="G112" s="148">
        <v>13</v>
      </c>
      <c r="H112" s="163">
        <v>3.3399998142857146</v>
      </c>
      <c r="I112" s="156">
        <v>3.456716104477612</v>
      </c>
      <c r="J112" s="156">
        <v>3.4880951190476188</v>
      </c>
      <c r="K112" s="145">
        <v>151.33000000000001</v>
      </c>
      <c r="L112" s="145">
        <v>151.53</v>
      </c>
      <c r="M112" s="145">
        <v>150.15</v>
      </c>
      <c r="N112" s="145">
        <v>150.69999999999999</v>
      </c>
      <c r="O112" s="145">
        <v>151.49</v>
      </c>
      <c r="P112" s="145">
        <v>150.44999999999999</v>
      </c>
      <c r="Q112" s="151">
        <v>8.199999999999999E-2</v>
      </c>
      <c r="R112" s="151">
        <v>7.9199999999999993E-2</v>
      </c>
      <c r="S112" s="151">
        <v>0.10769999999999999</v>
      </c>
      <c r="T112" s="153">
        <v>0.7288</v>
      </c>
      <c r="U112" s="140">
        <v>0.44069999999999998</v>
      </c>
      <c r="V112" s="155">
        <v>0</v>
      </c>
      <c r="W112" s="140">
        <f>(1-0)/2</f>
        <v>0.5</v>
      </c>
      <c r="X112" s="140">
        <f>1/2</f>
        <v>0.5</v>
      </c>
      <c r="Y112" s="155">
        <v>0</v>
      </c>
      <c r="Z112" s="140">
        <f>Y112/'Master''s (1 yr)'!E113</f>
        <v>0</v>
      </c>
    </row>
    <row r="113" spans="1:26" x14ac:dyDescent="0.25">
      <c r="A113" s="154" t="s">
        <v>94</v>
      </c>
      <c r="B113" s="154" t="s">
        <v>64</v>
      </c>
      <c r="C113" s="149">
        <v>222</v>
      </c>
      <c r="D113" s="149">
        <v>121</v>
      </c>
      <c r="E113" s="148">
        <v>10.6</v>
      </c>
      <c r="F113" s="148">
        <v>5.6</v>
      </c>
      <c r="G113" s="148">
        <v>2.6</v>
      </c>
      <c r="H113" s="163">
        <v>3.4860459767441863</v>
      </c>
      <c r="I113" s="156">
        <v>3.6321424642857147</v>
      </c>
      <c r="J113" s="156">
        <v>3.6230769230769226</v>
      </c>
      <c r="K113" s="145">
        <v>149.29</v>
      </c>
      <c r="L113" s="145">
        <v>149.93</v>
      </c>
      <c r="M113" s="145">
        <v>151.31</v>
      </c>
      <c r="N113" s="145">
        <v>157.96</v>
      </c>
      <c r="O113" s="145">
        <v>159.93</v>
      </c>
      <c r="P113" s="145">
        <v>158.54</v>
      </c>
      <c r="Q113" s="151">
        <v>0.11320000000000001</v>
      </c>
      <c r="R113" s="151">
        <v>0.21429999999999999</v>
      </c>
      <c r="S113" s="151">
        <v>0.23079999999999998</v>
      </c>
      <c r="T113" s="153">
        <v>0.6129</v>
      </c>
      <c r="U113" s="140">
        <v>0</v>
      </c>
      <c r="V113" s="155">
        <v>0</v>
      </c>
      <c r="W113" s="140">
        <v>0</v>
      </c>
      <c r="X113" s="140">
        <v>0</v>
      </c>
      <c r="Y113" s="155">
        <v>0</v>
      </c>
      <c r="Z113" s="140">
        <f>Y113/'Master''s (1 yr)'!E114</f>
        <v>0</v>
      </c>
    </row>
    <row r="114" spans="1:26" x14ac:dyDescent="0.25">
      <c r="A114" s="154" t="s">
        <v>18</v>
      </c>
      <c r="B114" s="154" t="s">
        <v>124</v>
      </c>
      <c r="C114" s="149">
        <v>215</v>
      </c>
      <c r="D114" s="149">
        <v>122</v>
      </c>
      <c r="E114" s="148">
        <v>9.4</v>
      </c>
      <c r="F114" s="148">
        <v>6.2</v>
      </c>
      <c r="G114" s="148">
        <v>2.8</v>
      </c>
      <c r="H114" s="147">
        <v>3.2692307692307696</v>
      </c>
      <c r="I114" s="156">
        <v>3.1999999999999997</v>
      </c>
      <c r="J114" s="156">
        <v>3.2800000000000002</v>
      </c>
      <c r="K114" s="145">
        <v>157.43</v>
      </c>
      <c r="L114" s="145">
        <v>158.16</v>
      </c>
      <c r="M114" s="145">
        <v>158.29</v>
      </c>
      <c r="N114" s="145">
        <v>145.93</v>
      </c>
      <c r="O114" s="145">
        <v>145.9</v>
      </c>
      <c r="P114" s="145">
        <v>148.21</v>
      </c>
      <c r="Q114" s="151">
        <v>0.12770000000000001</v>
      </c>
      <c r="R114" s="151">
        <v>0.129</v>
      </c>
      <c r="S114" s="151">
        <v>0.1429</v>
      </c>
      <c r="T114" s="153">
        <v>0.57889999999999997</v>
      </c>
      <c r="U114" s="140">
        <v>0.52629999999999999</v>
      </c>
      <c r="V114" s="155">
        <v>1</v>
      </c>
      <c r="W114" s="140">
        <v>0</v>
      </c>
      <c r="X114" s="140">
        <v>0</v>
      </c>
      <c r="Y114" s="155">
        <v>1</v>
      </c>
      <c r="Z114" s="140">
        <f>Y114/'Master''s (1 yr)'!E115</f>
        <v>0.2</v>
      </c>
    </row>
    <row r="115" spans="1:26" x14ac:dyDescent="0.25">
      <c r="A115" s="154" t="s">
        <v>20</v>
      </c>
      <c r="B115" s="154" t="s">
        <v>124</v>
      </c>
      <c r="C115" s="149">
        <v>215</v>
      </c>
      <c r="D115" s="149">
        <v>124</v>
      </c>
      <c r="E115" s="148">
        <v>25.2</v>
      </c>
      <c r="F115" s="148">
        <v>11</v>
      </c>
      <c r="G115" s="148">
        <v>5.8</v>
      </c>
      <c r="H115" s="147">
        <v>3.4812495937499999</v>
      </c>
      <c r="I115" s="156">
        <v>3.6062496666666668</v>
      </c>
      <c r="J115" s="156">
        <v>3.5208329583333331</v>
      </c>
      <c r="K115" s="145">
        <v>150.13</v>
      </c>
      <c r="L115" s="145">
        <v>150.46</v>
      </c>
      <c r="M115" s="145">
        <v>149.63</v>
      </c>
      <c r="N115" s="145">
        <v>151.46</v>
      </c>
      <c r="O115" s="145">
        <v>152.93</v>
      </c>
      <c r="P115" s="145">
        <v>151.63</v>
      </c>
      <c r="Q115" s="151">
        <v>0.16670000000000001</v>
      </c>
      <c r="R115" s="151">
        <v>0.14550000000000002</v>
      </c>
      <c r="S115" s="151">
        <v>0.13789999999999999</v>
      </c>
      <c r="T115" s="153">
        <v>0</v>
      </c>
      <c r="U115" s="140">
        <v>0</v>
      </c>
      <c r="V115" s="155">
        <v>0</v>
      </c>
      <c r="W115" s="140">
        <f>(0-0)/1</f>
        <v>0</v>
      </c>
      <c r="X115" s="140">
        <f>1/1</f>
        <v>1</v>
      </c>
      <c r="Y115" s="155">
        <v>0</v>
      </c>
      <c r="Z115" s="140">
        <v>0</v>
      </c>
    </row>
    <row r="116" spans="1:26" x14ac:dyDescent="0.25">
      <c r="A116" s="154" t="s">
        <v>22</v>
      </c>
      <c r="B116" s="154" t="s">
        <v>124</v>
      </c>
      <c r="C116" s="149">
        <v>215</v>
      </c>
      <c r="D116" s="149">
        <v>125</v>
      </c>
      <c r="E116" s="148">
        <v>2.4</v>
      </c>
      <c r="F116" s="148">
        <v>0.2</v>
      </c>
      <c r="G116" s="148">
        <v>0.2</v>
      </c>
      <c r="H116" s="147">
        <v>3.45</v>
      </c>
      <c r="I116" s="156">
        <v>3.1</v>
      </c>
      <c r="J116" s="156">
        <v>3.1</v>
      </c>
      <c r="K116" s="145">
        <v>148.78</v>
      </c>
      <c r="L116" s="145">
        <v>148</v>
      </c>
      <c r="M116" s="145">
        <v>148</v>
      </c>
      <c r="N116" s="145">
        <v>152.88999999999999</v>
      </c>
      <c r="O116" s="145">
        <v>163</v>
      </c>
      <c r="P116" s="145">
        <v>163</v>
      </c>
      <c r="Q116" s="151">
        <v>0.16670000000000001</v>
      </c>
      <c r="R116" s="151">
        <v>1</v>
      </c>
      <c r="S116" s="151">
        <v>1</v>
      </c>
      <c r="T116" s="153">
        <v>1</v>
      </c>
      <c r="U116" s="140">
        <v>0</v>
      </c>
      <c r="V116" s="155">
        <v>0</v>
      </c>
      <c r="W116" s="140">
        <v>0</v>
      </c>
      <c r="X116" s="140">
        <v>0</v>
      </c>
      <c r="Y116" s="155">
        <v>0</v>
      </c>
      <c r="Z116" s="140">
        <v>0</v>
      </c>
    </row>
    <row r="117" spans="1:26" x14ac:dyDescent="0.25">
      <c r="A117" s="154" t="s">
        <v>134</v>
      </c>
      <c r="B117" s="154" t="s">
        <v>124</v>
      </c>
      <c r="C117" s="149">
        <v>215</v>
      </c>
      <c r="D117" s="149">
        <v>126</v>
      </c>
      <c r="E117" s="148">
        <v>22.4</v>
      </c>
      <c r="F117" s="148">
        <v>17</v>
      </c>
      <c r="G117" s="148">
        <v>13</v>
      </c>
      <c r="H117" s="147">
        <v>3.3691487234042552</v>
      </c>
      <c r="I117" s="156">
        <v>3.4272724025974033</v>
      </c>
      <c r="J117" s="156">
        <v>3.38448275862069</v>
      </c>
      <c r="K117" s="145">
        <v>150.99</v>
      </c>
      <c r="L117" s="145">
        <v>150.61000000000001</v>
      </c>
      <c r="M117" s="145">
        <v>150.13999999999999</v>
      </c>
      <c r="N117" s="145">
        <v>151.77000000000001</v>
      </c>
      <c r="O117" s="145">
        <v>152.57</v>
      </c>
      <c r="P117" s="145">
        <v>152.44999999999999</v>
      </c>
      <c r="Q117" s="151">
        <v>0.11609999999999999</v>
      </c>
      <c r="R117" s="151">
        <v>0.10589999999999999</v>
      </c>
      <c r="S117" s="151">
        <v>0.10769999999999999</v>
      </c>
      <c r="T117" s="153">
        <v>0.78949999999999998</v>
      </c>
      <c r="U117" s="140">
        <v>0</v>
      </c>
      <c r="V117" s="155">
        <v>4</v>
      </c>
      <c r="W117" s="140">
        <v>0</v>
      </c>
      <c r="X117" s="140">
        <v>0</v>
      </c>
      <c r="Y117" s="155">
        <v>0</v>
      </c>
      <c r="Z117" s="140">
        <f>Y117/'Master''s (1 yr)'!E118</f>
        <v>0</v>
      </c>
    </row>
    <row r="118" spans="1:26" x14ac:dyDescent="0.25">
      <c r="A118" s="154" t="s">
        <v>136</v>
      </c>
      <c r="B118" s="154" t="s">
        <v>124</v>
      </c>
      <c r="C118" s="149">
        <v>215</v>
      </c>
      <c r="D118" s="149">
        <v>127</v>
      </c>
      <c r="E118" s="148">
        <v>26.6</v>
      </c>
      <c r="F118" s="148">
        <v>24</v>
      </c>
      <c r="G118" s="148">
        <v>19.2</v>
      </c>
      <c r="H118" s="147">
        <v>3.4538456846153847</v>
      </c>
      <c r="I118" s="156">
        <v>3.475833025</v>
      </c>
      <c r="J118" s="156">
        <v>3.4583330520833329</v>
      </c>
      <c r="K118" s="145">
        <v>148.52000000000001</v>
      </c>
      <c r="L118" s="145">
        <v>148.66999999999999</v>
      </c>
      <c r="M118" s="145">
        <v>148.28</v>
      </c>
      <c r="N118" s="145">
        <v>153.71</v>
      </c>
      <c r="O118" s="145">
        <v>153.69</v>
      </c>
      <c r="P118" s="145">
        <v>153.59</v>
      </c>
      <c r="Q118" s="151">
        <v>9.7699999999999995E-2</v>
      </c>
      <c r="R118" s="151">
        <v>0.1</v>
      </c>
      <c r="S118" s="151">
        <v>8.3299999999999999E-2</v>
      </c>
      <c r="T118" s="153">
        <v>0</v>
      </c>
      <c r="U118" s="140">
        <v>0</v>
      </c>
      <c r="V118" s="155">
        <v>0</v>
      </c>
      <c r="W118" s="140">
        <f>(0-0)/6</f>
        <v>0</v>
      </c>
      <c r="X118" s="140">
        <f>6/6</f>
        <v>1</v>
      </c>
      <c r="Y118" s="155">
        <v>0</v>
      </c>
      <c r="Z118" s="140">
        <f>Y118/'Master''s (1 yr)'!E119</f>
        <v>0</v>
      </c>
    </row>
    <row r="119" spans="1:26" x14ac:dyDescent="0.25">
      <c r="A119" s="154" t="s">
        <v>96</v>
      </c>
      <c r="B119" s="154" t="s">
        <v>64</v>
      </c>
      <c r="C119" s="149">
        <v>222</v>
      </c>
      <c r="D119" s="149">
        <v>128</v>
      </c>
      <c r="E119" s="148">
        <v>13.4</v>
      </c>
      <c r="F119" s="148">
        <v>2.8</v>
      </c>
      <c r="G119" s="148">
        <v>1.4</v>
      </c>
      <c r="H119" s="147">
        <v>3.3979591428571432</v>
      </c>
      <c r="I119" s="156">
        <v>3.4384613846153846</v>
      </c>
      <c r="J119" s="156">
        <v>3.371428571428571</v>
      </c>
      <c r="K119" s="145">
        <v>148.35</v>
      </c>
      <c r="L119" s="145">
        <v>150.43</v>
      </c>
      <c r="M119" s="145">
        <v>149.29</v>
      </c>
      <c r="N119" s="145">
        <v>150.47</v>
      </c>
      <c r="O119" s="145">
        <v>154.29</v>
      </c>
      <c r="P119" s="145">
        <v>157.43</v>
      </c>
      <c r="Q119" s="151">
        <v>0.32840000000000003</v>
      </c>
      <c r="R119" s="151">
        <v>0.28570000000000001</v>
      </c>
      <c r="S119" s="151">
        <v>0.42859999999999998</v>
      </c>
      <c r="T119" s="153">
        <v>0.54549999999999998</v>
      </c>
      <c r="U119" s="140">
        <v>0.2424</v>
      </c>
      <c r="V119" s="155">
        <v>3</v>
      </c>
      <c r="W119" s="140">
        <f>(1-0)/5</f>
        <v>0.2</v>
      </c>
      <c r="X119" s="140">
        <f>4/5</f>
        <v>0.8</v>
      </c>
      <c r="Y119" s="155">
        <v>1</v>
      </c>
      <c r="Z119" s="140">
        <f>Y119/'Master''s (1 yr)'!E120</f>
        <v>9.0909090909090912E-2</v>
      </c>
    </row>
    <row r="120" spans="1:26" x14ac:dyDescent="0.25">
      <c r="A120" s="154" t="s">
        <v>273</v>
      </c>
      <c r="B120" s="154" t="s">
        <v>238</v>
      </c>
      <c r="C120" s="149">
        <v>211</v>
      </c>
      <c r="D120" s="149">
        <v>129</v>
      </c>
      <c r="E120" s="148">
        <v>50.8</v>
      </c>
      <c r="F120" s="148">
        <v>26.6</v>
      </c>
      <c r="G120" s="148">
        <v>23.8</v>
      </c>
      <c r="H120" s="147">
        <v>3.2630433586956524</v>
      </c>
      <c r="I120" s="156">
        <v>3.3061943716814155</v>
      </c>
      <c r="J120" s="156">
        <v>3.2747571844660199</v>
      </c>
      <c r="K120" s="145">
        <v>150.36000000000001</v>
      </c>
      <c r="L120" s="145">
        <v>150.05000000000001</v>
      </c>
      <c r="M120" s="145">
        <v>149.55000000000001</v>
      </c>
      <c r="N120" s="145">
        <v>151.37</v>
      </c>
      <c r="O120" s="145">
        <v>152.27000000000001</v>
      </c>
      <c r="P120" s="145">
        <v>151.72999999999999</v>
      </c>
      <c r="Q120" s="151">
        <v>9.8400000000000001E-2</v>
      </c>
      <c r="R120" s="151">
        <v>9.0200000000000002E-2</v>
      </c>
      <c r="S120" s="151">
        <v>0.10920000000000001</v>
      </c>
      <c r="T120" s="153">
        <v>0.55730000000000002</v>
      </c>
      <c r="U120" s="140">
        <v>9.9000000000000005E-2</v>
      </c>
      <c r="V120" s="155">
        <v>6</v>
      </c>
      <c r="W120" s="140">
        <f>(2-0)/5</f>
        <v>0.4</v>
      </c>
      <c r="X120" s="140">
        <f>3/5</f>
        <v>0.6</v>
      </c>
      <c r="Y120" s="155">
        <v>10</v>
      </c>
      <c r="Z120" s="140">
        <f>Y120/'Master''s (1 yr)'!E121</f>
        <v>0.19230769230769232</v>
      </c>
    </row>
    <row r="121" spans="1:26" x14ac:dyDescent="0.25">
      <c r="A121" s="154" t="s">
        <v>98</v>
      </c>
      <c r="B121" s="154" t="s">
        <v>64</v>
      </c>
      <c r="C121" s="149">
        <v>222</v>
      </c>
      <c r="D121" s="149">
        <v>130</v>
      </c>
      <c r="E121" s="148">
        <v>29.6</v>
      </c>
      <c r="F121" s="148">
        <v>8.4</v>
      </c>
      <c r="G121" s="148">
        <v>6.6</v>
      </c>
      <c r="H121" s="147">
        <v>3.5229351651376151</v>
      </c>
      <c r="I121" s="156">
        <v>3.6032257096774201</v>
      </c>
      <c r="J121" s="156">
        <v>3.5519997200000004</v>
      </c>
      <c r="K121" s="145">
        <v>146.86000000000001</v>
      </c>
      <c r="L121" s="145">
        <v>147.44999999999999</v>
      </c>
      <c r="M121" s="145">
        <v>147.13</v>
      </c>
      <c r="N121" s="145">
        <v>152.27000000000001</v>
      </c>
      <c r="O121" s="145">
        <v>152.94999999999999</v>
      </c>
      <c r="P121" s="145">
        <v>153.30000000000001</v>
      </c>
      <c r="Q121" s="151">
        <v>0.30409999999999998</v>
      </c>
      <c r="R121" s="151">
        <v>0.3095</v>
      </c>
      <c r="S121" s="151">
        <v>0.33329999999999999</v>
      </c>
      <c r="T121" s="153">
        <v>0.52500000000000002</v>
      </c>
      <c r="U121" s="140">
        <v>0.22500000000000001</v>
      </c>
      <c r="V121" s="155">
        <v>2</v>
      </c>
      <c r="W121" s="140">
        <f>(1-0)/9</f>
        <v>0.1111111111111111</v>
      </c>
      <c r="X121" s="140">
        <f>8/9</f>
        <v>0.88888888888888884</v>
      </c>
      <c r="Y121" s="155">
        <v>6</v>
      </c>
      <c r="Z121" s="140">
        <f>Y121/'Master''s (1 yr)'!E122</f>
        <v>1</v>
      </c>
    </row>
    <row r="122" spans="1:26" x14ac:dyDescent="0.25">
      <c r="A122" s="154" t="s">
        <v>24</v>
      </c>
      <c r="B122" s="154" t="s">
        <v>124</v>
      </c>
      <c r="C122" s="149">
        <v>215</v>
      </c>
      <c r="D122" s="149">
        <v>131</v>
      </c>
      <c r="E122" s="148">
        <v>64.599999999999994</v>
      </c>
      <c r="F122" s="148">
        <v>50.6</v>
      </c>
      <c r="G122" s="148">
        <v>45.8</v>
      </c>
      <c r="H122" s="147">
        <v>3.5608537117437717</v>
      </c>
      <c r="I122" s="156">
        <v>3.5820830583333327</v>
      </c>
      <c r="J122" s="156">
        <v>3.5874436591928247</v>
      </c>
      <c r="K122" s="145">
        <v>147.16</v>
      </c>
      <c r="L122" s="145">
        <v>147.18</v>
      </c>
      <c r="M122" s="145">
        <v>147</v>
      </c>
      <c r="N122" s="145">
        <v>150.05000000000001</v>
      </c>
      <c r="O122" s="145">
        <v>150.56</v>
      </c>
      <c r="P122" s="145">
        <v>150.30000000000001</v>
      </c>
      <c r="Q122" s="151">
        <v>0.15479999999999999</v>
      </c>
      <c r="R122" s="151">
        <v>0.13830000000000001</v>
      </c>
      <c r="S122" s="151">
        <v>0.14849999999999999</v>
      </c>
      <c r="T122" s="153">
        <v>1</v>
      </c>
      <c r="U122" s="140">
        <v>0</v>
      </c>
      <c r="V122" s="155">
        <v>0</v>
      </c>
      <c r="W122" s="140">
        <v>0</v>
      </c>
      <c r="X122" s="140">
        <v>0</v>
      </c>
      <c r="Y122" s="155">
        <v>0</v>
      </c>
      <c r="Z122" s="140">
        <v>0</v>
      </c>
    </row>
    <row r="123" spans="1:26" x14ac:dyDescent="0.25">
      <c r="A123" s="154" t="s">
        <v>298</v>
      </c>
      <c r="B123" s="154" t="s">
        <v>238</v>
      </c>
      <c r="C123" s="149">
        <v>218</v>
      </c>
      <c r="D123" s="149">
        <v>458</v>
      </c>
      <c r="E123" s="148">
        <v>125</v>
      </c>
      <c r="F123" s="148">
        <v>60.2</v>
      </c>
      <c r="G123" s="148">
        <v>38.4</v>
      </c>
      <c r="H123" s="147">
        <v>3.3176604839449539</v>
      </c>
      <c r="I123" s="156">
        <v>3.4381739377593368</v>
      </c>
      <c r="J123" s="156">
        <v>3.39746817721519</v>
      </c>
      <c r="K123" s="145">
        <v>151.57</v>
      </c>
      <c r="L123" s="145">
        <v>152.47999999999999</v>
      </c>
      <c r="M123" s="145">
        <v>151.72999999999999</v>
      </c>
      <c r="N123" s="145">
        <v>150.27000000000001</v>
      </c>
      <c r="O123" s="145">
        <v>151.52000000000001</v>
      </c>
      <c r="P123" s="145">
        <v>150.54</v>
      </c>
      <c r="Q123" s="151">
        <v>0.14880000000000002</v>
      </c>
      <c r="R123" s="151">
        <v>0.1096</v>
      </c>
      <c r="S123" s="151">
        <v>0.13019999999999998</v>
      </c>
      <c r="T123" s="153">
        <v>0.3256</v>
      </c>
      <c r="U123" s="140">
        <v>0.12790000000000001</v>
      </c>
      <c r="V123" s="155">
        <v>10</v>
      </c>
      <c r="W123" s="140">
        <f>(3-0)/12</f>
        <v>0.25</v>
      </c>
      <c r="X123" s="140">
        <f>9/12</f>
        <v>0.75</v>
      </c>
      <c r="Y123" s="155">
        <v>8</v>
      </c>
      <c r="Z123" s="140">
        <f>Y123/'Master''s (1 yr)'!E124</f>
        <v>0.16326530612244897</v>
      </c>
    </row>
    <row r="124" spans="1:26" x14ac:dyDescent="0.25">
      <c r="A124" s="154" t="s">
        <v>331</v>
      </c>
      <c r="B124" s="154" t="s">
        <v>332</v>
      </c>
      <c r="C124" s="149">
        <v>222</v>
      </c>
      <c r="D124" s="149">
        <v>132</v>
      </c>
      <c r="E124" s="148">
        <v>120.2</v>
      </c>
      <c r="F124" s="148">
        <v>0</v>
      </c>
      <c r="G124" s="148">
        <v>0</v>
      </c>
      <c r="H124" s="147">
        <v>3.4858969358974363</v>
      </c>
      <c r="I124" s="159"/>
      <c r="J124" s="159"/>
      <c r="K124" s="158">
        <v>163.6</v>
      </c>
      <c r="L124" s="158"/>
      <c r="M124" s="158">
        <v>165</v>
      </c>
      <c r="N124" s="158">
        <v>152.9</v>
      </c>
      <c r="O124" s="158"/>
      <c r="P124" s="158">
        <v>157</v>
      </c>
      <c r="Q124" s="151">
        <v>1.1599999999999999E-2</v>
      </c>
      <c r="R124" s="151">
        <v>0</v>
      </c>
      <c r="S124" s="151">
        <v>0</v>
      </c>
      <c r="T124" s="153">
        <v>0</v>
      </c>
      <c r="U124" s="140">
        <v>0</v>
      </c>
      <c r="V124" s="155">
        <v>0</v>
      </c>
      <c r="W124" s="140">
        <v>0</v>
      </c>
      <c r="X124" s="140">
        <v>0</v>
      </c>
      <c r="Y124" s="155">
        <v>0</v>
      </c>
      <c r="Z124" s="140">
        <v>0</v>
      </c>
    </row>
    <row r="125" spans="1:26" x14ac:dyDescent="0.25">
      <c r="A125" s="154" t="s">
        <v>138</v>
      </c>
      <c r="B125" s="154" t="s">
        <v>124</v>
      </c>
      <c r="C125" s="149">
        <v>215</v>
      </c>
      <c r="D125" s="149">
        <v>133</v>
      </c>
      <c r="E125" s="148">
        <v>57.6</v>
      </c>
      <c r="F125" s="148">
        <v>27.2</v>
      </c>
      <c r="G125" s="148">
        <v>16</v>
      </c>
      <c r="H125" s="147">
        <v>3.3437034185185182</v>
      </c>
      <c r="I125" s="156">
        <v>3.4151509090909093</v>
      </c>
      <c r="J125" s="156">
        <v>3.3636360389610389</v>
      </c>
      <c r="K125" s="145">
        <v>147.53</v>
      </c>
      <c r="L125" s="145">
        <v>148.37</v>
      </c>
      <c r="M125" s="145">
        <v>148.13</v>
      </c>
      <c r="N125" s="145">
        <v>151.19999999999999</v>
      </c>
      <c r="O125" s="145">
        <v>152.49</v>
      </c>
      <c r="P125" s="145">
        <v>151.72</v>
      </c>
      <c r="Q125" s="151">
        <v>0.29859999999999998</v>
      </c>
      <c r="R125" s="151">
        <v>0.22789999999999999</v>
      </c>
      <c r="S125" s="151">
        <v>0.22500000000000001</v>
      </c>
      <c r="T125" s="153">
        <v>0</v>
      </c>
      <c r="U125" s="140">
        <v>0</v>
      </c>
      <c r="V125" s="155">
        <v>0</v>
      </c>
      <c r="W125" s="140">
        <v>0</v>
      </c>
      <c r="X125" s="140">
        <v>0</v>
      </c>
      <c r="Y125" s="155">
        <v>0</v>
      </c>
      <c r="Z125" s="140">
        <v>0</v>
      </c>
    </row>
    <row r="126" spans="1:26" x14ac:dyDescent="0.25">
      <c r="A126" s="154" t="s">
        <v>276</v>
      </c>
      <c r="B126" s="154" t="s">
        <v>238</v>
      </c>
      <c r="C126" s="149">
        <v>227</v>
      </c>
      <c r="D126" s="149">
        <v>137</v>
      </c>
      <c r="E126" s="148">
        <v>57.4</v>
      </c>
      <c r="F126" s="148">
        <v>34</v>
      </c>
      <c r="G126" s="148">
        <v>29.2</v>
      </c>
      <c r="H126" s="147">
        <v>3.2490563443396225</v>
      </c>
      <c r="I126" s="156">
        <v>3.2934305693430654</v>
      </c>
      <c r="J126" s="156">
        <v>3.294016914529915</v>
      </c>
      <c r="K126" s="145">
        <v>149.79</v>
      </c>
      <c r="L126" s="145">
        <v>150.63</v>
      </c>
      <c r="M126" s="145">
        <v>150.62</v>
      </c>
      <c r="N126" s="145">
        <v>151.29</v>
      </c>
      <c r="O126" s="145">
        <v>152.36000000000001</v>
      </c>
      <c r="P126" s="145">
        <v>157.13</v>
      </c>
      <c r="Q126" s="151">
        <v>0.1603</v>
      </c>
      <c r="R126" s="151">
        <v>0.10589999999999999</v>
      </c>
      <c r="S126" s="151">
        <v>8.2200000000000009E-2</v>
      </c>
      <c r="T126" s="153">
        <v>0.60660000000000003</v>
      </c>
      <c r="U126" s="140">
        <v>8.7400000000000005E-2</v>
      </c>
      <c r="V126" s="155">
        <v>8</v>
      </c>
      <c r="W126" s="140">
        <f>(3-0)/13</f>
        <v>0.23076923076923078</v>
      </c>
      <c r="X126" s="140">
        <f>10/13</f>
        <v>0.76923076923076927</v>
      </c>
      <c r="Y126" s="155">
        <v>7</v>
      </c>
      <c r="Z126" s="140">
        <f>Y126/'Master''s (1 yr)'!E127</f>
        <v>0.14000000000000001</v>
      </c>
    </row>
    <row r="127" spans="1:26" x14ac:dyDescent="0.25">
      <c r="A127" s="154" t="s">
        <v>278</v>
      </c>
      <c r="B127" s="154" t="s">
        <v>238</v>
      </c>
      <c r="C127" s="149">
        <v>211</v>
      </c>
      <c r="D127" s="149">
        <v>138</v>
      </c>
      <c r="E127" s="148">
        <v>40.4</v>
      </c>
      <c r="F127" s="148">
        <v>10.199999999999999</v>
      </c>
      <c r="G127" s="148">
        <v>8.8000000000000007</v>
      </c>
      <c r="H127" s="147">
        <v>3.4040811428571423</v>
      </c>
      <c r="I127" s="156">
        <v>3.5205881176470588</v>
      </c>
      <c r="J127" s="156">
        <v>3.5374999375000002</v>
      </c>
      <c r="K127" s="145">
        <v>151.46</v>
      </c>
      <c r="L127" s="145">
        <v>152.22</v>
      </c>
      <c r="M127" s="145">
        <v>151.77000000000001</v>
      </c>
      <c r="N127" s="145">
        <v>154.08000000000001</v>
      </c>
      <c r="O127" s="145">
        <v>155.12</v>
      </c>
      <c r="P127" s="145">
        <v>154.65</v>
      </c>
      <c r="Q127" s="151">
        <v>0.14360000000000001</v>
      </c>
      <c r="R127" s="151">
        <v>0.1176</v>
      </c>
      <c r="S127" s="151">
        <v>0.13639999999999999</v>
      </c>
      <c r="T127" s="153">
        <v>0.59089999999999998</v>
      </c>
      <c r="U127" s="140">
        <v>9.0899999999999995E-2</v>
      </c>
      <c r="V127" s="155">
        <v>1</v>
      </c>
      <c r="W127" s="140">
        <v>0</v>
      </c>
      <c r="X127" s="140">
        <v>0</v>
      </c>
      <c r="Y127" s="155">
        <v>12</v>
      </c>
      <c r="Z127" s="140">
        <f>Y127/'Master''s (1 yr)'!E128</f>
        <v>0.54545454545454541</v>
      </c>
    </row>
    <row r="128" spans="1:26" x14ac:dyDescent="0.25">
      <c r="A128" s="154" t="s">
        <v>100</v>
      </c>
      <c r="B128" s="154" t="s">
        <v>64</v>
      </c>
      <c r="C128" s="149">
        <v>222</v>
      </c>
      <c r="D128" s="149">
        <v>139</v>
      </c>
      <c r="E128" s="148">
        <v>18</v>
      </c>
      <c r="F128" s="148">
        <v>10.8</v>
      </c>
      <c r="G128" s="148">
        <v>4.8</v>
      </c>
      <c r="H128" s="147">
        <v>3.5787875909090916</v>
      </c>
      <c r="I128" s="156">
        <v>3.6133333111111106</v>
      </c>
      <c r="J128" s="156">
        <v>3.5095237619047621</v>
      </c>
      <c r="K128" s="145">
        <v>148.16</v>
      </c>
      <c r="L128" s="145">
        <v>148.77000000000001</v>
      </c>
      <c r="M128" s="145">
        <v>146</v>
      </c>
      <c r="N128" s="145">
        <v>154.63</v>
      </c>
      <c r="O128" s="145">
        <v>156.55000000000001</v>
      </c>
      <c r="P128" s="145">
        <v>157.13</v>
      </c>
      <c r="Q128" s="151">
        <v>0.15560000000000002</v>
      </c>
      <c r="R128" s="151">
        <v>0.16670000000000001</v>
      </c>
      <c r="S128" s="151">
        <v>0.125</v>
      </c>
      <c r="T128" s="153">
        <v>0.93940000000000001</v>
      </c>
      <c r="U128" s="140">
        <v>0</v>
      </c>
      <c r="V128" s="155">
        <v>3</v>
      </c>
      <c r="W128" s="140">
        <f>(1-0)/4</f>
        <v>0.25</v>
      </c>
      <c r="X128" s="140">
        <f>3/4</f>
        <v>0.75</v>
      </c>
      <c r="Y128" s="155">
        <v>9</v>
      </c>
      <c r="Z128" s="140">
        <f>Y128/'Master''s (1 yr)'!E129</f>
        <v>0.9</v>
      </c>
    </row>
    <row r="129" spans="1:26" x14ac:dyDescent="0.25">
      <c r="A129" s="154" t="s">
        <v>280</v>
      </c>
      <c r="B129" s="154" t="s">
        <v>238</v>
      </c>
      <c r="C129" s="149">
        <v>222</v>
      </c>
      <c r="D129" s="149">
        <v>140</v>
      </c>
      <c r="E129" s="148">
        <v>21.4</v>
      </c>
      <c r="F129" s="148">
        <v>3</v>
      </c>
      <c r="G129" s="148">
        <v>2.4</v>
      </c>
      <c r="H129" s="147">
        <v>3.4580642580645158</v>
      </c>
      <c r="I129" s="156">
        <v>3.5153845384615385</v>
      </c>
      <c r="J129" s="156">
        <v>3.4899997999999997</v>
      </c>
      <c r="K129" s="145">
        <v>153.08000000000001</v>
      </c>
      <c r="L129" s="145">
        <v>152.33000000000001</v>
      </c>
      <c r="M129" s="145">
        <v>153.59</v>
      </c>
      <c r="N129" s="145">
        <v>154.69999999999999</v>
      </c>
      <c r="O129" s="145">
        <v>154.19999999999999</v>
      </c>
      <c r="P129" s="145">
        <v>154.41</v>
      </c>
      <c r="Q129" s="151">
        <v>0.10279999999999999</v>
      </c>
      <c r="R129" s="151">
        <v>6.6699999999999995E-2</v>
      </c>
      <c r="S129" s="151">
        <v>8.3299999999999999E-2</v>
      </c>
      <c r="T129" s="153">
        <v>0.40629999999999999</v>
      </c>
      <c r="U129" s="140">
        <v>0.125</v>
      </c>
      <c r="V129" s="155">
        <v>2</v>
      </c>
      <c r="W129" s="140">
        <v>0</v>
      </c>
      <c r="X129" s="140">
        <v>0</v>
      </c>
      <c r="Y129" s="155">
        <v>9</v>
      </c>
      <c r="Z129" s="140">
        <f>Y129/'Master''s (1 yr)'!E130</f>
        <v>1</v>
      </c>
    </row>
    <row r="130" spans="1:26" x14ac:dyDescent="0.25">
      <c r="A130" s="154" t="s">
        <v>58</v>
      </c>
      <c r="B130" s="154" t="s">
        <v>318</v>
      </c>
      <c r="C130" s="149">
        <v>214</v>
      </c>
      <c r="D130" s="149">
        <v>338</v>
      </c>
      <c r="E130" s="148">
        <v>268.8</v>
      </c>
      <c r="F130" s="148">
        <v>110.4</v>
      </c>
      <c r="G130" s="148">
        <v>51</v>
      </c>
      <c r="H130" s="147">
        <v>3.3773919736477098</v>
      </c>
      <c r="I130" s="156">
        <v>3.4455617455621295</v>
      </c>
      <c r="J130" s="156">
        <v>3.4280418888888891</v>
      </c>
      <c r="K130" s="145">
        <v>153.61000000000001</v>
      </c>
      <c r="L130" s="145">
        <v>153.31</v>
      </c>
      <c r="M130" s="145">
        <v>150.69</v>
      </c>
      <c r="N130" s="152">
        <v>149.32816326530613</v>
      </c>
      <c r="O130" s="145">
        <v>149.61510128913443</v>
      </c>
      <c r="P130" s="159">
        <v>149.04104477611941</v>
      </c>
      <c r="Q130" s="151">
        <v>0.12869999999999998</v>
      </c>
      <c r="R130" s="151">
        <v>0.16120000000000001</v>
      </c>
      <c r="S130" s="151">
        <v>0.2039</v>
      </c>
      <c r="T130" s="153">
        <v>0.62219999999999998</v>
      </c>
      <c r="U130" s="140">
        <v>0.37780000000000002</v>
      </c>
      <c r="V130" s="155">
        <v>2</v>
      </c>
      <c r="W130" s="140">
        <f>(2-1)/4</f>
        <v>0.25</v>
      </c>
      <c r="X130" s="140">
        <f>2/4</f>
        <v>0.5</v>
      </c>
      <c r="Y130" s="155">
        <v>1</v>
      </c>
      <c r="Z130" s="140">
        <f>Y130/'Master''s (1 yr)'!E131</f>
        <v>3.7037037037037035E-2</v>
      </c>
    </row>
    <row r="131" spans="1:26" x14ac:dyDescent="0.25">
      <c r="A131" s="154" t="s">
        <v>229</v>
      </c>
      <c r="B131" s="154" t="s">
        <v>230</v>
      </c>
      <c r="C131" s="149">
        <v>217</v>
      </c>
      <c r="D131" s="149">
        <v>101</v>
      </c>
      <c r="E131" s="148">
        <v>61.2</v>
      </c>
      <c r="F131" s="148">
        <v>34</v>
      </c>
      <c r="G131" s="148">
        <v>22</v>
      </c>
      <c r="H131" s="147">
        <v>3.5142175402843603</v>
      </c>
      <c r="I131" s="156">
        <v>3.5477939411764701</v>
      </c>
      <c r="J131" s="156">
        <v>3.5172412068965513</v>
      </c>
      <c r="K131" s="145">
        <v>146.87</v>
      </c>
      <c r="L131" s="145">
        <v>147.1</v>
      </c>
      <c r="M131" s="145">
        <v>146.47999999999999</v>
      </c>
      <c r="N131" s="152">
        <v>149.23008849557522</v>
      </c>
      <c r="O131" s="145">
        <v>150.87323943661971</v>
      </c>
      <c r="P131" s="159">
        <v>149.36363636363637</v>
      </c>
      <c r="Q131" s="151">
        <v>0.14710000000000001</v>
      </c>
      <c r="R131" s="151">
        <v>0.14119999999999999</v>
      </c>
      <c r="S131" s="151">
        <v>0.1636</v>
      </c>
      <c r="T131" s="153">
        <v>0.45529999999999998</v>
      </c>
      <c r="U131" s="140">
        <v>0.16259999999999999</v>
      </c>
      <c r="V131" s="155">
        <v>12</v>
      </c>
      <c r="W131" s="140">
        <f>(2-0)/5</f>
        <v>0.4</v>
      </c>
      <c r="X131" s="140">
        <f>3/5</f>
        <v>0.6</v>
      </c>
      <c r="Y131" s="155">
        <v>36</v>
      </c>
      <c r="Z131" s="140">
        <f>Y131/'Master''s (1 yr)'!E132</f>
        <v>0.87804878048780488</v>
      </c>
    </row>
    <row r="132" spans="1:26" x14ac:dyDescent="0.25">
      <c r="A132" s="154" t="s">
        <v>233</v>
      </c>
      <c r="B132" s="154" t="s">
        <v>230</v>
      </c>
      <c r="C132" s="149">
        <v>217</v>
      </c>
      <c r="D132" s="149">
        <v>102</v>
      </c>
      <c r="E132" s="148">
        <v>24.4</v>
      </c>
      <c r="F132" s="148">
        <v>16.399999999999999</v>
      </c>
      <c r="G132" s="148">
        <v>14</v>
      </c>
      <c r="H132" s="163">
        <v>3.3821050000000001</v>
      </c>
      <c r="I132" s="156">
        <v>3.4402775833333332</v>
      </c>
      <c r="J132" s="156">
        <v>3.4349996666666671</v>
      </c>
      <c r="K132" s="145">
        <v>146.06</v>
      </c>
      <c r="L132" s="145">
        <v>145.83000000000001</v>
      </c>
      <c r="M132" s="145">
        <v>144.88999999999999</v>
      </c>
      <c r="N132" s="152">
        <v>149.76470588235293</v>
      </c>
      <c r="O132" s="145">
        <v>151.04347826086956</v>
      </c>
      <c r="P132" s="159">
        <v>151.42105263157896</v>
      </c>
      <c r="Q132" s="151">
        <v>0.1721</v>
      </c>
      <c r="R132" s="151">
        <v>0.1585</v>
      </c>
      <c r="S132" s="151">
        <v>0.1857</v>
      </c>
      <c r="T132" s="153">
        <v>0.51060000000000005</v>
      </c>
      <c r="U132" s="140">
        <v>2.1299999999999999E-2</v>
      </c>
      <c r="V132" s="155">
        <v>8</v>
      </c>
      <c r="W132" s="140">
        <f>(3-0)/6</f>
        <v>0.5</v>
      </c>
      <c r="X132" s="140">
        <f>3/6</f>
        <v>0.5</v>
      </c>
      <c r="Y132" s="155">
        <v>2</v>
      </c>
      <c r="Z132" s="140">
        <f>Y132/'Master''s (1 yr)'!E133</f>
        <v>3.0769230769230771E-2</v>
      </c>
    </row>
    <row r="133" spans="1:26" x14ac:dyDescent="0.25">
      <c r="A133" s="154" t="s">
        <v>49</v>
      </c>
      <c r="B133" s="154" t="s">
        <v>50</v>
      </c>
      <c r="C133" s="149">
        <v>220</v>
      </c>
      <c r="D133" s="149">
        <v>330</v>
      </c>
      <c r="E133" s="148">
        <v>83.6</v>
      </c>
      <c r="F133" s="148">
        <v>28.4</v>
      </c>
      <c r="G133" s="148">
        <v>7.4</v>
      </c>
      <c r="H133" s="147">
        <v>3.461363568181818</v>
      </c>
      <c r="I133" s="156">
        <v>3.5282050512820504</v>
      </c>
      <c r="J133" s="156">
        <v>3.5285713571428574</v>
      </c>
      <c r="K133" s="145">
        <v>156.74</v>
      </c>
      <c r="L133" s="145">
        <v>157.29</v>
      </c>
      <c r="M133" s="145">
        <v>155.59</v>
      </c>
      <c r="N133" s="152">
        <v>153.75844155844155</v>
      </c>
      <c r="O133" s="145">
        <v>157.78723404255319</v>
      </c>
      <c r="P133" s="159">
        <v>158.1081081081081</v>
      </c>
      <c r="Q133" s="151">
        <v>3.1099999999999999E-2</v>
      </c>
      <c r="R133" s="151">
        <v>2.8199999999999999E-2</v>
      </c>
      <c r="S133" s="151">
        <v>8.1099999999999992E-2</v>
      </c>
      <c r="T133" s="153">
        <v>0.6</v>
      </c>
      <c r="U133" s="140">
        <v>0.625</v>
      </c>
      <c r="V133" s="155">
        <v>3</v>
      </c>
      <c r="W133" s="140">
        <f>(0-0)/3</f>
        <v>0</v>
      </c>
      <c r="X133" s="140">
        <f>3/3</f>
        <v>1</v>
      </c>
      <c r="Y133" s="155">
        <v>1</v>
      </c>
      <c r="Z133" s="140">
        <f>Y133/'Master''s (1 yr)'!E134</f>
        <v>8.3333333333333329E-2</v>
      </c>
    </row>
    <row r="134" spans="1:26" x14ac:dyDescent="0.25">
      <c r="A134" s="154" t="s">
        <v>43</v>
      </c>
      <c r="B134" s="154" t="s">
        <v>44</v>
      </c>
      <c r="C134" s="149">
        <v>212</v>
      </c>
      <c r="D134" s="149">
        <v>329</v>
      </c>
      <c r="E134" s="148">
        <v>350.4</v>
      </c>
      <c r="F134" s="148">
        <v>162.4</v>
      </c>
      <c r="G134" s="148">
        <v>129.6</v>
      </c>
      <c r="H134" s="147">
        <v>3.4827982876579213</v>
      </c>
      <c r="I134" s="156">
        <v>3.5677462680412373</v>
      </c>
      <c r="J134" s="156">
        <v>3.5517943111111103</v>
      </c>
      <c r="K134" s="145">
        <v>159.44999999999999</v>
      </c>
      <c r="L134" s="145">
        <v>163</v>
      </c>
      <c r="M134" s="145">
        <v>162</v>
      </c>
      <c r="N134" s="152">
        <v>151.9</v>
      </c>
      <c r="O134" s="145">
        <v>156.25</v>
      </c>
      <c r="P134" s="159">
        <v>153.33333333333334</v>
      </c>
      <c r="Q134" s="151">
        <v>9.3000000000000013E-2</v>
      </c>
      <c r="R134" s="151">
        <v>0.1084</v>
      </c>
      <c r="S134" s="151">
        <v>0.1265</v>
      </c>
      <c r="T134" s="153">
        <v>0.45119999999999999</v>
      </c>
      <c r="U134" s="140">
        <v>7.4099999999999999E-2</v>
      </c>
      <c r="V134" s="155">
        <v>23</v>
      </c>
      <c r="W134" s="140">
        <f>(1-0)/31</f>
        <v>3.2258064516129031E-2</v>
      </c>
      <c r="X134" s="140">
        <f>30/31</f>
        <v>0.967741935483871</v>
      </c>
      <c r="Y134" s="155">
        <v>0</v>
      </c>
      <c r="Z134" s="140">
        <f>Y134/'Master''s (1 yr)'!E135</f>
        <v>0</v>
      </c>
    </row>
    <row r="135" spans="1:26" x14ac:dyDescent="0.25">
      <c r="A135" s="154" t="s">
        <v>150</v>
      </c>
      <c r="B135" s="154" t="s">
        <v>151</v>
      </c>
      <c r="C135" s="149">
        <v>214</v>
      </c>
      <c r="D135" s="149">
        <v>347</v>
      </c>
      <c r="E135" s="148">
        <v>108.2</v>
      </c>
      <c r="F135" s="148">
        <v>84.2</v>
      </c>
      <c r="G135" s="148">
        <v>46.4</v>
      </c>
      <c r="H135" s="147">
        <v>3.2728256268115943</v>
      </c>
      <c r="I135" s="156">
        <v>3.297321120535714</v>
      </c>
      <c r="J135" s="156">
        <v>3.2806449301075271</v>
      </c>
      <c r="K135" s="145">
        <v>154.75</v>
      </c>
      <c r="L135" s="145">
        <v>155.61000000000001</v>
      </c>
      <c r="M135" s="145">
        <v>152.69</v>
      </c>
      <c r="N135" s="152">
        <v>149.89754098360655</v>
      </c>
      <c r="O135" s="145">
        <v>150.82725060827249</v>
      </c>
      <c r="P135" s="159">
        <v>150.4094827586207</v>
      </c>
      <c r="Q135" s="151">
        <v>0.10539999999999999</v>
      </c>
      <c r="R135" s="151">
        <v>9.98E-2</v>
      </c>
      <c r="S135" s="151">
        <v>0.14219999999999999</v>
      </c>
      <c r="T135" s="153">
        <v>0.28570000000000001</v>
      </c>
      <c r="U135" s="140">
        <v>0.27950000000000003</v>
      </c>
      <c r="V135" s="155">
        <v>12</v>
      </c>
      <c r="W135" s="140">
        <f>(1-1)/7</f>
        <v>0</v>
      </c>
      <c r="X135" s="140">
        <f>6/7</f>
        <v>0.8571428571428571</v>
      </c>
      <c r="Y135" s="155">
        <v>4</v>
      </c>
      <c r="Z135" s="140">
        <f>Y135/'Master''s (1 yr)'!E136</f>
        <v>7.5471698113207544E-2</v>
      </c>
    </row>
    <row r="136" spans="1:26" x14ac:dyDescent="0.25">
      <c r="A136" s="154" t="s">
        <v>221</v>
      </c>
      <c r="B136" s="154" t="s">
        <v>222</v>
      </c>
      <c r="C136" s="149">
        <v>221</v>
      </c>
      <c r="D136" s="149">
        <v>430</v>
      </c>
      <c r="E136" s="148">
        <v>26</v>
      </c>
      <c r="F136" s="148">
        <v>15.4</v>
      </c>
      <c r="G136" s="148">
        <v>7.4</v>
      </c>
      <c r="H136" s="163">
        <v>3.58</v>
      </c>
      <c r="I136" s="156">
        <v>3.7</v>
      </c>
      <c r="J136" s="156">
        <v>3.7</v>
      </c>
      <c r="K136" s="145"/>
      <c r="L136" s="145"/>
      <c r="M136" s="145"/>
      <c r="N136" s="145"/>
      <c r="O136" s="145"/>
      <c r="P136" s="145"/>
      <c r="Q136" s="151">
        <v>5.3800000000000001E-2</v>
      </c>
      <c r="R136" s="151">
        <v>5.1900000000000002E-2</v>
      </c>
      <c r="S136" s="151">
        <v>8.1099999999999992E-2</v>
      </c>
      <c r="T136" s="153">
        <v>0.54549999999999998</v>
      </c>
      <c r="U136" s="140">
        <v>0.77270000000000005</v>
      </c>
      <c r="V136" s="155">
        <v>1</v>
      </c>
      <c r="W136" s="140">
        <f>(0-0)/4</f>
        <v>0</v>
      </c>
      <c r="X136" s="140">
        <f>4/4</f>
        <v>1</v>
      </c>
      <c r="Y136" s="155">
        <v>0</v>
      </c>
      <c r="Z136" s="140">
        <f>Y136/'Master''s (1 yr)'!E137</f>
        <v>0</v>
      </c>
    </row>
    <row r="137" spans="1:26" x14ac:dyDescent="0.25">
      <c r="A137" s="154" t="s">
        <v>357</v>
      </c>
      <c r="B137" s="154" t="s">
        <v>358</v>
      </c>
      <c r="C137" s="149">
        <v>221</v>
      </c>
      <c r="D137" s="149">
        <v>500</v>
      </c>
      <c r="E137" s="148">
        <v>16.2</v>
      </c>
      <c r="F137" s="148">
        <v>6.2</v>
      </c>
      <c r="G137" s="148">
        <v>4.2</v>
      </c>
      <c r="H137" s="147">
        <v>3.1957743661971825</v>
      </c>
      <c r="I137" s="156">
        <v>3.2066663333333332</v>
      </c>
      <c r="J137" s="156">
        <v>3.1999998095238094</v>
      </c>
      <c r="K137" s="145">
        <v>156</v>
      </c>
      <c r="L137" s="145">
        <v>148</v>
      </c>
      <c r="M137" s="145">
        <v>148</v>
      </c>
      <c r="N137" s="145">
        <v>157.5</v>
      </c>
      <c r="O137" s="145">
        <v>156</v>
      </c>
      <c r="P137" s="145">
        <v>156</v>
      </c>
      <c r="Q137" s="151">
        <v>0.1235</v>
      </c>
      <c r="R137" s="151">
        <v>9.6799999999999997E-2</v>
      </c>
      <c r="S137" s="151">
        <v>9.5199999999999993E-2</v>
      </c>
      <c r="T137" s="153">
        <v>0.5333</v>
      </c>
      <c r="U137" s="140">
        <v>0</v>
      </c>
      <c r="V137" s="155">
        <v>1</v>
      </c>
      <c r="W137" s="140">
        <v>0</v>
      </c>
      <c r="X137" s="140">
        <v>0</v>
      </c>
      <c r="Y137" s="155">
        <v>0</v>
      </c>
      <c r="Z137" s="140">
        <f>Y137/'Master''s (1 yr)'!E138</f>
        <v>0</v>
      </c>
    </row>
    <row r="138" spans="1:26" x14ac:dyDescent="0.25">
      <c r="A138" s="154" t="s">
        <v>188</v>
      </c>
      <c r="B138" s="154" t="s">
        <v>189</v>
      </c>
      <c r="C138" s="149">
        <v>211</v>
      </c>
      <c r="D138" s="149">
        <v>66</v>
      </c>
      <c r="E138" s="45">
        <v>34.4</v>
      </c>
      <c r="F138" s="44">
        <v>12</v>
      </c>
      <c r="G138" s="134">
        <v>11</v>
      </c>
      <c r="H138" s="147">
        <v>3.356249703125</v>
      </c>
      <c r="I138" s="156">
        <v>3.3826084782608694</v>
      </c>
      <c r="J138" s="156">
        <v>3.3857142142857142</v>
      </c>
      <c r="K138" s="145">
        <v>152.47</v>
      </c>
      <c r="L138" s="145">
        <v>152.72</v>
      </c>
      <c r="M138" s="145">
        <v>152.4</v>
      </c>
      <c r="N138" s="152">
        <v>153.06</v>
      </c>
      <c r="O138" s="145">
        <v>153.10344827586206</v>
      </c>
      <c r="P138" s="159">
        <v>152.68965517241378</v>
      </c>
      <c r="Q138" s="151">
        <v>4.6500000000000007E-2</v>
      </c>
      <c r="R138" s="151">
        <v>0</v>
      </c>
      <c r="S138" s="151">
        <v>0</v>
      </c>
      <c r="T138" s="153">
        <v>0.55000000000000004</v>
      </c>
      <c r="U138" s="140">
        <v>0.1</v>
      </c>
      <c r="V138" s="155">
        <v>0</v>
      </c>
      <c r="W138" s="140">
        <v>0</v>
      </c>
      <c r="X138" s="140">
        <v>0</v>
      </c>
      <c r="Y138" s="155">
        <v>1</v>
      </c>
      <c r="Z138" s="140">
        <f>Y138/'Master''s (1 yr)'!E139</f>
        <v>7.1428571428571425E-2</v>
      </c>
    </row>
    <row r="139" spans="1:26" x14ac:dyDescent="0.25">
      <c r="A139" s="154" t="s">
        <v>53</v>
      </c>
      <c r="B139" s="154" t="s">
        <v>54</v>
      </c>
      <c r="C139" s="149">
        <v>211</v>
      </c>
      <c r="D139" s="149">
        <v>67</v>
      </c>
      <c r="E139" s="45">
        <v>64.2</v>
      </c>
      <c r="F139" s="44">
        <v>47.4</v>
      </c>
      <c r="G139" s="134">
        <v>34</v>
      </c>
      <c r="H139" s="147">
        <v>3.3437181758793981</v>
      </c>
      <c r="I139" s="156">
        <v>3.3858894049079757</v>
      </c>
      <c r="J139" s="156">
        <v>3.3151997280000001</v>
      </c>
      <c r="K139" s="145">
        <v>151.74</v>
      </c>
      <c r="L139" s="145">
        <v>151.9</v>
      </c>
      <c r="M139" s="145">
        <v>150.22</v>
      </c>
      <c r="N139" s="145">
        <v>149.51</v>
      </c>
      <c r="O139" s="145">
        <v>149.94999999999999</v>
      </c>
      <c r="P139" s="145">
        <v>148.36000000000001</v>
      </c>
      <c r="Q139" s="151">
        <v>0.10589999999999999</v>
      </c>
      <c r="R139" s="151">
        <v>8.8599999999999998E-2</v>
      </c>
      <c r="S139" s="151">
        <v>0.1235</v>
      </c>
      <c r="T139" s="153">
        <v>0.36109999999999998</v>
      </c>
      <c r="U139" s="140">
        <v>0.33329999999999999</v>
      </c>
      <c r="V139" s="155">
        <v>0</v>
      </c>
      <c r="W139" s="140">
        <v>0</v>
      </c>
      <c r="X139" s="140">
        <v>0</v>
      </c>
      <c r="Y139" s="155">
        <v>2</v>
      </c>
      <c r="Z139" s="140">
        <f>Y139/'Master''s (1 yr)'!E140</f>
        <v>0.16666666666666666</v>
      </c>
    </row>
    <row r="140" spans="1:26" x14ac:dyDescent="0.25">
      <c r="A140" s="154" t="s">
        <v>192</v>
      </c>
      <c r="B140" s="154" t="s">
        <v>487</v>
      </c>
      <c r="C140" s="149">
        <v>211</v>
      </c>
      <c r="D140" s="149">
        <v>70</v>
      </c>
      <c r="E140" s="45">
        <v>34.6</v>
      </c>
      <c r="F140" s="44">
        <v>21.2</v>
      </c>
      <c r="G140" s="134">
        <v>18.8</v>
      </c>
      <c r="H140" s="163">
        <v>3.3593216186440675</v>
      </c>
      <c r="I140" s="156">
        <v>3.3894116235294116</v>
      </c>
      <c r="J140" s="156">
        <v>3.3782050000000003</v>
      </c>
      <c r="K140" s="145">
        <v>151.41999999999999</v>
      </c>
      <c r="L140" s="145">
        <v>150.36000000000001</v>
      </c>
      <c r="M140" s="145">
        <v>150.6</v>
      </c>
      <c r="N140" s="145">
        <v>152.72</v>
      </c>
      <c r="O140" s="145">
        <v>153.72</v>
      </c>
      <c r="P140" s="145">
        <v>153.34</v>
      </c>
      <c r="Q140" s="151">
        <v>9.2499999999999999E-2</v>
      </c>
      <c r="R140" s="151">
        <v>6.6000000000000003E-2</v>
      </c>
      <c r="S140" s="151">
        <v>7.4499999999999997E-2</v>
      </c>
      <c r="T140" s="153">
        <v>0.1875</v>
      </c>
      <c r="U140" s="140">
        <v>0</v>
      </c>
      <c r="V140" s="155">
        <v>0</v>
      </c>
      <c r="W140" s="140">
        <v>0</v>
      </c>
      <c r="X140" s="140">
        <v>0</v>
      </c>
      <c r="Y140" s="155">
        <v>1</v>
      </c>
      <c r="Z140" s="140">
        <f>Y140/'Master''s (1 yr)'!E141</f>
        <v>0.25</v>
      </c>
    </row>
    <row r="141" spans="1:26" x14ac:dyDescent="0.25">
      <c r="A141" s="154" t="s">
        <v>210</v>
      </c>
      <c r="B141" s="154" t="s">
        <v>211</v>
      </c>
      <c r="C141" s="149">
        <v>214</v>
      </c>
      <c r="D141" s="149">
        <v>86</v>
      </c>
      <c r="E141" s="45">
        <v>22.4</v>
      </c>
      <c r="F141" s="44">
        <v>10.4</v>
      </c>
      <c r="G141" s="134">
        <v>9.6</v>
      </c>
      <c r="H141" s="147">
        <v>2.9892854166666667</v>
      </c>
      <c r="I141" s="156">
        <v>3.0065216521739133</v>
      </c>
      <c r="J141" s="156">
        <v>3.0348836046511622</v>
      </c>
      <c r="K141" s="145">
        <v>148.63</v>
      </c>
      <c r="L141" s="145">
        <v>149.97999999999999</v>
      </c>
      <c r="M141" s="145">
        <v>150.08000000000001</v>
      </c>
      <c r="N141" s="152">
        <v>149.4</v>
      </c>
      <c r="O141" s="145">
        <v>151.48979591836735</v>
      </c>
      <c r="P141" s="159">
        <v>150.25</v>
      </c>
      <c r="Q141" s="151">
        <v>0.1429</v>
      </c>
      <c r="R141" s="151">
        <v>5.7699999999999994E-2</v>
      </c>
      <c r="S141" s="151">
        <v>6.25E-2</v>
      </c>
      <c r="T141" s="153">
        <v>0.1731</v>
      </c>
      <c r="U141" s="140">
        <v>1.9199999999999998E-2</v>
      </c>
      <c r="V141" s="155">
        <v>1</v>
      </c>
      <c r="W141" s="140">
        <v>0</v>
      </c>
      <c r="X141" s="140">
        <v>0</v>
      </c>
      <c r="Y141" s="155">
        <v>0</v>
      </c>
      <c r="Z141" s="140">
        <f>Y141/'Master''s (1 yr)'!E142</f>
        <v>0</v>
      </c>
    </row>
    <row r="142" spans="1:26" x14ac:dyDescent="0.25">
      <c r="A142" s="154" t="s">
        <v>353</v>
      </c>
      <c r="B142" s="154" t="s">
        <v>354</v>
      </c>
      <c r="C142" s="149">
        <v>221</v>
      </c>
      <c r="D142" s="149">
        <v>464</v>
      </c>
      <c r="E142" s="45">
        <v>29.4</v>
      </c>
      <c r="F142" s="44">
        <v>16.8</v>
      </c>
      <c r="G142" s="134">
        <v>11.2</v>
      </c>
      <c r="H142" s="162">
        <v>3.29</v>
      </c>
      <c r="I142" s="156">
        <v>3.4</v>
      </c>
      <c r="J142" s="156">
        <v>3.35</v>
      </c>
      <c r="K142" s="145">
        <v>166</v>
      </c>
      <c r="L142" s="145">
        <v>166</v>
      </c>
      <c r="M142" s="145">
        <v>166</v>
      </c>
      <c r="N142" s="152">
        <v>163</v>
      </c>
      <c r="O142" s="145">
        <v>163</v>
      </c>
      <c r="P142" s="159">
        <v>163</v>
      </c>
      <c r="Q142" s="151">
        <v>4.7599999999999996E-2</v>
      </c>
      <c r="R142" s="151">
        <v>2.3799999999999998E-2</v>
      </c>
      <c r="S142" s="151">
        <v>3.5699999999999996E-2</v>
      </c>
      <c r="T142" s="153">
        <v>0.28210000000000002</v>
      </c>
      <c r="U142" s="140">
        <v>0.84619999999999995</v>
      </c>
      <c r="V142" s="155">
        <v>1</v>
      </c>
      <c r="W142" s="140">
        <f>(0-0)/2</f>
        <v>0</v>
      </c>
      <c r="X142" s="140">
        <f>2/2</f>
        <v>1</v>
      </c>
      <c r="Y142" s="155">
        <v>0</v>
      </c>
      <c r="Z142" s="140">
        <f>Y142/'Master''s (1 yr)'!E143</f>
        <v>0</v>
      </c>
    </row>
    <row r="143" spans="1:26" x14ac:dyDescent="0.25">
      <c r="A143" s="154" t="s">
        <v>77</v>
      </c>
      <c r="B143" s="154" t="s">
        <v>218</v>
      </c>
      <c r="C143" s="149">
        <v>222</v>
      </c>
      <c r="D143" s="149">
        <v>88</v>
      </c>
      <c r="E143" s="45">
        <v>6.2</v>
      </c>
      <c r="F143" s="44">
        <v>3.4</v>
      </c>
      <c r="G143" s="134">
        <v>2.2000000000000002</v>
      </c>
      <c r="H143" s="147">
        <v>3.4678570714285719</v>
      </c>
      <c r="I143" s="156">
        <v>3.5933330666666663</v>
      </c>
      <c r="J143" s="156">
        <v>3.6</v>
      </c>
      <c r="K143" s="145">
        <v>150.35</v>
      </c>
      <c r="L143" s="145">
        <v>150.6</v>
      </c>
      <c r="M143" s="145">
        <v>152.1</v>
      </c>
      <c r="N143" s="152">
        <v>162.42307692307693</v>
      </c>
      <c r="O143" s="145">
        <v>163.33333333333334</v>
      </c>
      <c r="P143" s="159">
        <v>162.19999999999999</v>
      </c>
      <c r="Q143" s="151">
        <v>0.129</v>
      </c>
      <c r="R143" s="151">
        <v>0.23530000000000001</v>
      </c>
      <c r="S143" s="151">
        <v>0.18179999999999999</v>
      </c>
      <c r="T143" s="153">
        <v>0.42859999999999998</v>
      </c>
      <c r="U143" s="140">
        <v>0</v>
      </c>
      <c r="V143" s="155">
        <v>3</v>
      </c>
      <c r="W143" s="140">
        <f>(1-0)/2</f>
        <v>0.5</v>
      </c>
      <c r="X143" s="140">
        <f>1/2</f>
        <v>0.5</v>
      </c>
      <c r="Y143" s="155">
        <v>0</v>
      </c>
      <c r="Z143" s="140">
        <f>Y143/'Master''s (1 yr)'!E144</f>
        <v>0</v>
      </c>
    </row>
    <row r="144" spans="1:26" x14ac:dyDescent="0.25">
      <c r="A144" s="154" t="s">
        <v>225</v>
      </c>
      <c r="B144" s="154" t="s">
        <v>226</v>
      </c>
      <c r="C144" s="149">
        <v>221</v>
      </c>
      <c r="D144" s="149">
        <v>431</v>
      </c>
      <c r="E144" s="45">
        <v>132.80000000000001</v>
      </c>
      <c r="F144" s="44">
        <v>79.8</v>
      </c>
      <c r="G144" s="134">
        <v>41</v>
      </c>
      <c r="H144" s="147">
        <v>3.38</v>
      </c>
      <c r="I144" s="159">
        <v>3.45</v>
      </c>
      <c r="J144" s="159">
        <v>3.45</v>
      </c>
      <c r="K144" s="145">
        <v>152.5</v>
      </c>
      <c r="L144" s="145">
        <v>152.80000000000001</v>
      </c>
      <c r="M144" s="145">
        <v>152.33000000000001</v>
      </c>
      <c r="N144" s="161">
        <v>154.83333333333334</v>
      </c>
      <c r="O144" s="70">
        <v>156.4</v>
      </c>
      <c r="P144" s="159">
        <v>157.33333333333334</v>
      </c>
      <c r="Q144" s="151">
        <v>0.12050000000000001</v>
      </c>
      <c r="R144" s="151">
        <v>8.0199999999999994E-2</v>
      </c>
      <c r="S144" s="151">
        <v>8.7799999999999989E-2</v>
      </c>
      <c r="T144" s="153">
        <v>0.33460000000000001</v>
      </c>
      <c r="U144" s="140">
        <v>2.5700000000000001E-2</v>
      </c>
      <c r="V144" s="155">
        <v>13</v>
      </c>
      <c r="W144" s="140">
        <f>(0-0)/2</f>
        <v>0</v>
      </c>
      <c r="X144" s="140">
        <f>2/2</f>
        <v>1</v>
      </c>
      <c r="Y144" s="155">
        <v>0</v>
      </c>
      <c r="Z144" s="140">
        <f>Y144/'Master''s (1 yr)'!E145</f>
        <v>0</v>
      </c>
    </row>
    <row r="145" spans="1:26" x14ac:dyDescent="0.25">
      <c r="A145" s="154" t="s">
        <v>314</v>
      </c>
      <c r="B145" s="154" t="s">
        <v>238</v>
      </c>
      <c r="C145" s="149">
        <v>219</v>
      </c>
      <c r="D145" s="149">
        <v>501</v>
      </c>
      <c r="E145" s="148">
        <v>21.8</v>
      </c>
      <c r="F145" s="148">
        <v>11.8</v>
      </c>
      <c r="G145" s="148">
        <v>3</v>
      </c>
      <c r="H145" s="147">
        <v>3.3159998399999995</v>
      </c>
      <c r="I145" s="156">
        <v>3.3777775555555554</v>
      </c>
      <c r="J145" s="156">
        <v>3.0799996000000003</v>
      </c>
      <c r="K145" s="145">
        <v>162.26</v>
      </c>
      <c r="L145" s="145">
        <v>163.32</v>
      </c>
      <c r="M145" s="145">
        <v>160.21</v>
      </c>
      <c r="N145" s="152">
        <v>154.01960784313727</v>
      </c>
      <c r="O145" s="145">
        <v>156.80701754385964</v>
      </c>
      <c r="P145" s="159">
        <v>153.64285714285714</v>
      </c>
      <c r="Q145" s="151">
        <v>1.83E-2</v>
      </c>
      <c r="R145" s="151">
        <v>0</v>
      </c>
      <c r="S145" s="151">
        <v>0</v>
      </c>
      <c r="T145" s="153">
        <v>0.75</v>
      </c>
      <c r="U145" s="140">
        <v>0.72219999999999995</v>
      </c>
      <c r="V145" s="155">
        <v>0</v>
      </c>
      <c r="W145" s="140">
        <v>0</v>
      </c>
      <c r="X145" s="140">
        <v>0</v>
      </c>
      <c r="Y145" s="155">
        <v>1</v>
      </c>
      <c r="Z145" s="140">
        <f>Y145/'Master''s (1 yr)'!E146</f>
        <v>7.1428571428571425E-2</v>
      </c>
    </row>
  </sheetData>
  <sheetProtection password="EC77" sheet="1" objects="1" scenarios="1"/>
  <mergeCells count="7">
    <mergeCell ref="A1:Z1"/>
    <mergeCell ref="A2:D4"/>
    <mergeCell ref="E2:Z2"/>
    <mergeCell ref="E4:G4"/>
    <mergeCell ref="H4:P4"/>
    <mergeCell ref="Q4:V4"/>
    <mergeCell ref="Y4:Z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opLeftCell="K1" zoomScale="85" zoomScaleNormal="85" workbookViewId="0">
      <selection activeCell="V6" sqref="V6"/>
    </sheetView>
  </sheetViews>
  <sheetFormatPr defaultRowHeight="15" x14ac:dyDescent="0.25"/>
  <cols>
    <col min="1" max="1" width="28.5703125" customWidth="1"/>
    <col min="2" max="2" width="29.42578125" customWidth="1"/>
    <col min="3" max="3" width="10.7109375" customWidth="1"/>
    <col min="4" max="4" width="8.5703125" customWidth="1"/>
    <col min="5" max="10" width="13.28515625" customWidth="1"/>
    <col min="11" max="11" width="13.28515625" style="64" customWidth="1"/>
    <col min="12" max="19" width="13.28515625" customWidth="1"/>
    <col min="20" max="20" width="13.5703125" customWidth="1"/>
    <col min="21" max="21" width="13.85546875" customWidth="1"/>
    <col min="22" max="22" width="11.7109375" customWidth="1"/>
    <col min="23" max="24" width="12.85546875" customWidth="1"/>
    <col min="25" max="25" width="14.140625" customWidth="1"/>
    <col min="26" max="26" width="13.7109375" customWidth="1"/>
  </cols>
  <sheetData>
    <row r="1" spans="1:26" ht="18.75" x14ac:dyDescent="0.3">
      <c r="A1" s="213" t="s">
        <v>524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row>
    <row r="2" spans="1:26" ht="18.75" x14ac:dyDescent="0.25">
      <c r="A2" s="214" t="s">
        <v>399</v>
      </c>
      <c r="B2" s="214"/>
      <c r="C2" s="214"/>
      <c r="D2" s="214"/>
      <c r="E2" s="215" t="s">
        <v>406</v>
      </c>
      <c r="F2" s="215"/>
      <c r="G2" s="215"/>
      <c r="H2" s="215"/>
      <c r="I2" s="215"/>
      <c r="J2" s="215"/>
      <c r="K2" s="215"/>
      <c r="L2" s="215"/>
      <c r="M2" s="215"/>
      <c r="N2" s="215"/>
      <c r="O2" s="215"/>
      <c r="P2" s="215"/>
      <c r="Q2" s="215"/>
      <c r="R2" s="215"/>
      <c r="S2" s="215"/>
      <c r="T2" s="215"/>
      <c r="U2" s="215"/>
      <c r="V2" s="215"/>
      <c r="W2" s="215"/>
      <c r="X2" s="215"/>
      <c r="Y2" s="215"/>
      <c r="Z2" s="215"/>
    </row>
    <row r="3" spans="1:26" x14ac:dyDescent="0.25">
      <c r="A3" s="214"/>
      <c r="B3" s="214"/>
      <c r="C3" s="214"/>
      <c r="D3" s="214"/>
      <c r="E3" s="186">
        <v>1</v>
      </c>
      <c r="F3" s="186">
        <v>2</v>
      </c>
      <c r="G3" s="186">
        <v>3</v>
      </c>
      <c r="H3" s="181">
        <v>4</v>
      </c>
      <c r="I3" s="181">
        <v>5</v>
      </c>
      <c r="J3" s="181">
        <v>6</v>
      </c>
      <c r="K3" s="185">
        <v>7</v>
      </c>
      <c r="L3" s="181">
        <v>8</v>
      </c>
      <c r="M3" s="181">
        <v>9</v>
      </c>
      <c r="N3" s="181">
        <v>10</v>
      </c>
      <c r="O3" s="181">
        <v>11</v>
      </c>
      <c r="P3" s="181">
        <v>12</v>
      </c>
      <c r="Q3" s="182">
        <v>13</v>
      </c>
      <c r="R3" s="182">
        <v>14</v>
      </c>
      <c r="S3" s="182">
        <v>15</v>
      </c>
      <c r="T3" s="182">
        <v>16</v>
      </c>
      <c r="U3" s="182">
        <v>17</v>
      </c>
      <c r="V3" s="182">
        <v>18</v>
      </c>
      <c r="W3" s="182">
        <v>19</v>
      </c>
      <c r="X3" s="182">
        <v>20</v>
      </c>
      <c r="Y3" s="183">
        <v>21</v>
      </c>
      <c r="Z3" s="184">
        <v>22</v>
      </c>
    </row>
    <row r="4" spans="1:26" x14ac:dyDescent="0.25">
      <c r="A4" s="214"/>
      <c r="B4" s="214"/>
      <c r="C4" s="214"/>
      <c r="D4" s="214"/>
      <c r="E4" s="216" t="s">
        <v>382</v>
      </c>
      <c r="F4" s="216"/>
      <c r="G4" s="216"/>
      <c r="H4" s="217" t="s">
        <v>386</v>
      </c>
      <c r="I4" s="217"/>
      <c r="J4" s="217"/>
      <c r="K4" s="217"/>
      <c r="L4" s="217"/>
      <c r="M4" s="217"/>
      <c r="N4" s="217"/>
      <c r="O4" s="217"/>
      <c r="P4" s="217"/>
      <c r="Q4" s="223" t="s">
        <v>395</v>
      </c>
      <c r="R4" s="223"/>
      <c r="S4" s="223"/>
      <c r="T4" s="223"/>
      <c r="U4" s="223"/>
      <c r="V4" s="223"/>
      <c r="W4" s="100"/>
      <c r="X4" s="100"/>
      <c r="Y4" s="218" t="s">
        <v>407</v>
      </c>
      <c r="Z4" s="218"/>
    </row>
    <row r="5" spans="1:26" ht="77.25" x14ac:dyDescent="0.25">
      <c r="A5" s="23" t="s">
        <v>408</v>
      </c>
      <c r="B5" s="21" t="s">
        <v>0</v>
      </c>
      <c r="C5" s="23" t="s">
        <v>404</v>
      </c>
      <c r="D5" s="23" t="s">
        <v>1</v>
      </c>
      <c r="E5" s="136" t="s">
        <v>496</v>
      </c>
      <c r="F5" s="136" t="s">
        <v>497</v>
      </c>
      <c r="G5" s="136" t="s">
        <v>498</v>
      </c>
      <c r="H5" s="136" t="s">
        <v>499</v>
      </c>
      <c r="I5" s="136" t="s">
        <v>500</v>
      </c>
      <c r="J5" s="136" t="s">
        <v>491</v>
      </c>
      <c r="K5" s="136" t="s">
        <v>415</v>
      </c>
      <c r="L5" s="136" t="s">
        <v>416</v>
      </c>
      <c r="M5" s="136" t="s">
        <v>417</v>
      </c>
      <c r="N5" s="141" t="s">
        <v>418</v>
      </c>
      <c r="O5" s="136" t="s">
        <v>419</v>
      </c>
      <c r="P5" s="136" t="s">
        <v>420</v>
      </c>
      <c r="Q5" s="137" t="s">
        <v>421</v>
      </c>
      <c r="R5" s="137" t="s">
        <v>422</v>
      </c>
      <c r="S5" s="137" t="s">
        <v>423</v>
      </c>
      <c r="T5" s="137" t="s">
        <v>505</v>
      </c>
      <c r="U5" s="137" t="s">
        <v>506</v>
      </c>
      <c r="V5" s="137" t="s">
        <v>533</v>
      </c>
      <c r="W5" s="124" t="s">
        <v>462</v>
      </c>
      <c r="X5" s="125" t="s">
        <v>461</v>
      </c>
      <c r="Y5" s="137" t="s">
        <v>448</v>
      </c>
      <c r="Z5" s="138" t="s">
        <v>449</v>
      </c>
    </row>
    <row r="6" spans="1:26" x14ac:dyDescent="0.25">
      <c r="A6" s="3" t="s">
        <v>104</v>
      </c>
      <c r="B6" s="143" t="s">
        <v>144</v>
      </c>
      <c r="C6" s="144">
        <v>222</v>
      </c>
      <c r="D6" s="144">
        <v>336</v>
      </c>
      <c r="E6" s="130">
        <v>69.400000000000006</v>
      </c>
      <c r="F6" s="132">
        <v>15.2</v>
      </c>
      <c r="G6" s="132">
        <v>8</v>
      </c>
      <c r="H6" s="49">
        <v>3.5041806062717766</v>
      </c>
      <c r="I6" s="164">
        <v>3.6070170877192984</v>
      </c>
      <c r="J6" s="164">
        <v>3.5909084545454544</v>
      </c>
      <c r="K6" s="142">
        <v>148.65443425076452</v>
      </c>
      <c r="L6" s="165">
        <v>150.46052631578948</v>
      </c>
      <c r="M6" s="165">
        <v>149.15909090909091</v>
      </c>
      <c r="N6" s="142">
        <v>155.02140672782875</v>
      </c>
      <c r="O6" s="165">
        <v>156.52631578947367</v>
      </c>
      <c r="P6" s="166">
        <v>155.97727272727272</v>
      </c>
      <c r="Q6" s="146">
        <v>0.14985590778097982</v>
      </c>
      <c r="R6" s="146">
        <v>0.18421052631578946</v>
      </c>
      <c r="S6" s="146">
        <v>0.2</v>
      </c>
      <c r="T6" s="167">
        <v>0</v>
      </c>
      <c r="U6" s="167">
        <v>0</v>
      </c>
      <c r="V6" s="168">
        <v>0</v>
      </c>
      <c r="W6" s="165">
        <v>0</v>
      </c>
      <c r="X6" s="169">
        <v>0</v>
      </c>
      <c r="Y6" s="168">
        <v>0</v>
      </c>
      <c r="Z6" s="167">
        <v>0</v>
      </c>
    </row>
    <row r="7" spans="1:26" x14ac:dyDescent="0.25">
      <c r="A7" s="3" t="s">
        <v>58</v>
      </c>
      <c r="B7" s="143" t="s">
        <v>59</v>
      </c>
      <c r="C7" s="144">
        <v>214</v>
      </c>
      <c r="D7" s="144">
        <v>338</v>
      </c>
      <c r="E7" s="130">
        <v>268.8</v>
      </c>
      <c r="F7" s="132">
        <v>110.4</v>
      </c>
      <c r="G7" s="132">
        <v>51</v>
      </c>
      <c r="H7" s="49">
        <v>3.3773919736477098</v>
      </c>
      <c r="I7" s="164">
        <v>3.4455617455621295</v>
      </c>
      <c r="J7" s="164">
        <v>3.4280418888888891</v>
      </c>
      <c r="K7" s="165">
        <v>153.61000000000001</v>
      </c>
      <c r="L7" s="168">
        <v>153.31</v>
      </c>
      <c r="M7" s="168">
        <v>150.69</v>
      </c>
      <c r="N7" s="142">
        <v>149.32816326530613</v>
      </c>
      <c r="O7" s="165">
        <v>149.61510128913443</v>
      </c>
      <c r="P7" s="166">
        <v>149.04104477611941</v>
      </c>
      <c r="Q7" s="146">
        <v>0.12872023809523808</v>
      </c>
      <c r="R7" s="146">
        <v>0.16123188405797101</v>
      </c>
      <c r="S7" s="146">
        <v>0.20392156862745098</v>
      </c>
      <c r="T7" s="167">
        <v>0.40260000000000001</v>
      </c>
      <c r="U7" s="167">
        <v>0.1981</v>
      </c>
      <c r="V7" s="168">
        <v>30</v>
      </c>
      <c r="W7" s="169">
        <f>(3-0)/27</f>
        <v>0.1111111111111111</v>
      </c>
      <c r="X7" s="169">
        <f>24/27</f>
        <v>0.88888888888888884</v>
      </c>
      <c r="Y7" s="168">
        <v>17</v>
      </c>
      <c r="Z7" s="167">
        <f>Y7/'Master''s (2 yr)'!E8</f>
        <v>0.14912280701754385</v>
      </c>
    </row>
    <row r="8" spans="1:26" x14ac:dyDescent="0.25">
      <c r="A8" s="3" t="s">
        <v>106</v>
      </c>
      <c r="B8" s="143" t="s">
        <v>183</v>
      </c>
      <c r="C8" s="144">
        <v>217</v>
      </c>
      <c r="D8" s="144">
        <v>339</v>
      </c>
      <c r="E8" s="130">
        <v>118.4</v>
      </c>
      <c r="F8" s="132">
        <v>24.6</v>
      </c>
      <c r="G8" s="132">
        <v>17.2</v>
      </c>
      <c r="H8" s="49">
        <v>3.4815842077087797</v>
      </c>
      <c r="I8" s="164">
        <v>3.4829784042553191</v>
      </c>
      <c r="J8" s="164">
        <v>3.475384430769231</v>
      </c>
      <c r="K8" s="142">
        <v>150.1090909090909</v>
      </c>
      <c r="L8" s="165">
        <v>150.19999999999999</v>
      </c>
      <c r="M8" s="165">
        <v>151.09090909090909</v>
      </c>
      <c r="N8" s="142">
        <v>149.25454545454545</v>
      </c>
      <c r="O8" s="165">
        <v>151.80000000000001</v>
      </c>
      <c r="P8" s="166">
        <v>150.09090909090909</v>
      </c>
      <c r="Q8" s="146">
        <v>0.13682432432432431</v>
      </c>
      <c r="R8" s="146">
        <v>0.14634146341463414</v>
      </c>
      <c r="S8" s="146">
        <v>0.16279069767441862</v>
      </c>
      <c r="T8" s="167">
        <v>0.6573</v>
      </c>
      <c r="U8" s="167">
        <v>0.1608</v>
      </c>
      <c r="V8" s="168">
        <v>14</v>
      </c>
      <c r="W8" s="169">
        <f>(2-0)/4</f>
        <v>0.5</v>
      </c>
      <c r="X8" s="169">
        <f>2/4</f>
        <v>0.5</v>
      </c>
      <c r="Y8" s="168">
        <v>44</v>
      </c>
      <c r="Z8" s="167">
        <f>Y8/'Master''s (2 yr)'!E9</f>
        <v>0.95652173913043481</v>
      </c>
    </row>
    <row r="9" spans="1:26" x14ac:dyDescent="0.25">
      <c r="A9" s="3" t="s">
        <v>288</v>
      </c>
      <c r="B9" s="143" t="s">
        <v>335</v>
      </c>
      <c r="C9" s="144">
        <v>222</v>
      </c>
      <c r="D9" s="144">
        <v>342</v>
      </c>
      <c r="E9" s="130">
        <v>3.2</v>
      </c>
      <c r="F9" s="132">
        <v>0.4</v>
      </c>
      <c r="G9" s="132">
        <v>0.2</v>
      </c>
      <c r="H9" s="71">
        <v>3.2285714285714286</v>
      </c>
      <c r="I9" s="164">
        <v>3.6</v>
      </c>
      <c r="J9" s="164"/>
      <c r="K9" s="142">
        <v>157.07142857142858</v>
      </c>
      <c r="L9" s="165">
        <v>159.5</v>
      </c>
      <c r="M9" s="165">
        <v>158</v>
      </c>
      <c r="N9" s="142">
        <v>150.57142857142858</v>
      </c>
      <c r="O9" s="165">
        <v>145.5</v>
      </c>
      <c r="P9" s="166">
        <v>134</v>
      </c>
      <c r="Q9" s="146">
        <v>6.25E-2</v>
      </c>
      <c r="R9" s="146">
        <v>0</v>
      </c>
      <c r="S9" s="146">
        <v>0</v>
      </c>
      <c r="T9" s="167">
        <v>0</v>
      </c>
      <c r="U9" s="167">
        <v>0</v>
      </c>
      <c r="V9" s="168">
        <v>0</v>
      </c>
      <c r="W9" s="169">
        <v>0</v>
      </c>
      <c r="X9" s="169">
        <v>0</v>
      </c>
      <c r="Y9" s="168">
        <v>0</v>
      </c>
      <c r="Z9" s="167">
        <v>0</v>
      </c>
    </row>
    <row r="10" spans="1:26" x14ac:dyDescent="0.25">
      <c r="A10" s="3" t="s">
        <v>292</v>
      </c>
      <c r="B10" s="143" t="s">
        <v>335</v>
      </c>
      <c r="C10" s="144">
        <v>211</v>
      </c>
      <c r="D10" s="144">
        <v>346</v>
      </c>
      <c r="E10" s="130">
        <v>1</v>
      </c>
      <c r="F10" s="132">
        <v>0</v>
      </c>
      <c r="G10" s="132">
        <v>0</v>
      </c>
      <c r="H10" s="49">
        <v>3.2</v>
      </c>
      <c r="I10" s="164"/>
      <c r="J10" s="164"/>
      <c r="K10" s="142">
        <v>149</v>
      </c>
      <c r="L10" s="168"/>
      <c r="M10" s="168"/>
      <c r="N10" s="142">
        <v>153.5</v>
      </c>
      <c r="O10" s="168"/>
      <c r="P10" s="168"/>
      <c r="Q10" s="146">
        <v>0</v>
      </c>
      <c r="R10" s="146">
        <v>0</v>
      </c>
      <c r="S10" s="146">
        <v>0</v>
      </c>
      <c r="T10" s="167">
        <v>0</v>
      </c>
      <c r="U10" s="167">
        <v>0</v>
      </c>
      <c r="V10" s="168">
        <v>0</v>
      </c>
      <c r="W10" s="169">
        <v>0</v>
      </c>
      <c r="X10" s="169">
        <v>0</v>
      </c>
      <c r="Y10" s="168">
        <v>0</v>
      </c>
      <c r="Z10" s="167">
        <v>0</v>
      </c>
    </row>
    <row r="11" spans="1:26" x14ac:dyDescent="0.25">
      <c r="A11" s="3" t="s">
        <v>292</v>
      </c>
      <c r="B11" s="143" t="s">
        <v>335</v>
      </c>
      <c r="C11" s="144">
        <v>222</v>
      </c>
      <c r="D11" s="144">
        <v>346</v>
      </c>
      <c r="E11" s="130">
        <v>7</v>
      </c>
      <c r="F11" s="132">
        <v>1.6</v>
      </c>
      <c r="G11" s="132">
        <v>1.2</v>
      </c>
      <c r="H11" s="49">
        <v>3.4636363181818184</v>
      </c>
      <c r="I11" s="164">
        <v>3.3999998000000007</v>
      </c>
      <c r="J11" s="164">
        <v>3.1999999999999997</v>
      </c>
      <c r="K11" s="142">
        <v>153.6875</v>
      </c>
      <c r="L11" s="165">
        <v>151.625</v>
      </c>
      <c r="M11" s="165">
        <v>151.33333333333334</v>
      </c>
      <c r="N11" s="168">
        <v>153.22</v>
      </c>
      <c r="O11" s="168">
        <v>149.25</v>
      </c>
      <c r="P11" s="168">
        <v>146.66999999999999</v>
      </c>
      <c r="Q11" s="146">
        <v>8.5714285714285715E-2</v>
      </c>
      <c r="R11" s="146">
        <v>0.125</v>
      </c>
      <c r="S11" s="146">
        <v>0.16666666666666663</v>
      </c>
      <c r="T11" s="167">
        <v>1</v>
      </c>
      <c r="U11" s="167">
        <v>0</v>
      </c>
      <c r="V11" s="168">
        <v>0</v>
      </c>
      <c r="W11" s="169">
        <v>0</v>
      </c>
      <c r="X11" s="169">
        <v>0</v>
      </c>
      <c r="Y11" s="168">
        <v>0</v>
      </c>
      <c r="Z11" s="167">
        <v>0</v>
      </c>
    </row>
    <row r="12" spans="1:26" x14ac:dyDescent="0.25">
      <c r="A12" s="3" t="s">
        <v>42</v>
      </c>
      <c r="B12" s="143" t="s">
        <v>154</v>
      </c>
      <c r="C12" s="144">
        <v>212</v>
      </c>
      <c r="D12" s="144">
        <v>348</v>
      </c>
      <c r="E12" s="130">
        <v>1011.2</v>
      </c>
      <c r="F12" s="132">
        <v>556.20000000000005</v>
      </c>
      <c r="G12" s="132">
        <v>455.8</v>
      </c>
      <c r="H12" s="49">
        <v>3.2591537545503209</v>
      </c>
      <c r="I12" s="164">
        <v>3.2978117044187041</v>
      </c>
      <c r="J12" s="164">
        <v>3.287576040224033</v>
      </c>
      <c r="K12" s="142">
        <v>150.96402877697841</v>
      </c>
      <c r="L12" s="165">
        <v>152.7906976744186</v>
      </c>
      <c r="M12" s="165">
        <v>152.48571428571429</v>
      </c>
      <c r="N12" s="142">
        <v>151.42446043165467</v>
      </c>
      <c r="O12" s="165">
        <v>153.2093023255814</v>
      </c>
      <c r="P12" s="166">
        <v>152.71428571428572</v>
      </c>
      <c r="Q12" s="146">
        <v>0.16772151898734181</v>
      </c>
      <c r="R12" s="146">
        <v>0.14311398777418194</v>
      </c>
      <c r="S12" s="146">
        <v>0.15489249670908292</v>
      </c>
      <c r="T12" s="167">
        <v>0.29559999999999997</v>
      </c>
      <c r="U12" s="167">
        <v>4.4900000000000002E-2</v>
      </c>
      <c r="V12" s="168">
        <v>138</v>
      </c>
      <c r="W12" s="169">
        <f>(23-1)/239</f>
        <v>9.2050209205020925E-2</v>
      </c>
      <c r="X12" s="169">
        <f>216/239</f>
        <v>0.90376569037656906</v>
      </c>
      <c r="Y12" s="168">
        <v>24</v>
      </c>
      <c r="Z12" s="167">
        <f>Y12/'Master''s (2 yr)'!E13</f>
        <v>2.6460859977949284E-2</v>
      </c>
    </row>
    <row r="13" spans="1:26" x14ac:dyDescent="0.25">
      <c r="A13" s="3" t="s">
        <v>294</v>
      </c>
      <c r="B13" s="143" t="s">
        <v>335</v>
      </c>
      <c r="C13" s="144">
        <v>222</v>
      </c>
      <c r="D13" s="144">
        <v>350</v>
      </c>
      <c r="E13" s="130">
        <v>28</v>
      </c>
      <c r="F13" s="132">
        <v>0.8</v>
      </c>
      <c r="G13" s="132">
        <v>0.8</v>
      </c>
      <c r="H13" s="49">
        <v>3.1212118787878786</v>
      </c>
      <c r="I13" s="164">
        <v>3.2</v>
      </c>
      <c r="J13" s="164">
        <v>3.2</v>
      </c>
      <c r="K13" s="142">
        <v>159.5</v>
      </c>
      <c r="L13" s="165">
        <v>160.5</v>
      </c>
      <c r="M13" s="165">
        <v>156.5</v>
      </c>
      <c r="N13" s="142">
        <v>151.07017543859649</v>
      </c>
      <c r="O13" s="165">
        <v>155.5</v>
      </c>
      <c r="P13" s="166">
        <v>154.16666666666666</v>
      </c>
      <c r="Q13" s="146">
        <v>4.2857142857142858E-2</v>
      </c>
      <c r="R13" s="146">
        <v>0</v>
      </c>
      <c r="S13" s="146">
        <v>0</v>
      </c>
      <c r="T13" s="167">
        <v>0.25</v>
      </c>
      <c r="U13" s="167">
        <v>0.5</v>
      </c>
      <c r="V13" s="168">
        <v>0</v>
      </c>
      <c r="W13" s="169">
        <v>0</v>
      </c>
      <c r="X13" s="169">
        <v>0</v>
      </c>
      <c r="Y13" s="168">
        <v>0</v>
      </c>
      <c r="Z13" s="167">
        <f>Y13/'Master''s (2 yr)'!E14</f>
        <v>0</v>
      </c>
    </row>
    <row r="14" spans="1:26" x14ac:dyDescent="0.25">
      <c r="A14" s="3" t="s">
        <v>182</v>
      </c>
      <c r="B14" s="143" t="s">
        <v>183</v>
      </c>
      <c r="C14" s="144">
        <v>222</v>
      </c>
      <c r="D14" s="144">
        <v>48</v>
      </c>
      <c r="E14" s="130">
        <v>374.4</v>
      </c>
      <c r="F14" s="132">
        <v>18</v>
      </c>
      <c r="G14" s="132">
        <v>10.8</v>
      </c>
      <c r="H14" s="71">
        <v>3.51050317547055</v>
      </c>
      <c r="I14" s="164">
        <v>3.6112498749999999</v>
      </c>
      <c r="J14" s="164">
        <v>3.6254896862745096</v>
      </c>
      <c r="K14" s="142">
        <v>148.0940070505288</v>
      </c>
      <c r="L14" s="165">
        <v>150.46666666666667</v>
      </c>
      <c r="M14" s="165">
        <v>151</v>
      </c>
      <c r="N14" s="142">
        <v>159.69271445358402</v>
      </c>
      <c r="O14" s="165">
        <v>162.76666666666668</v>
      </c>
      <c r="P14" s="166">
        <v>162.60655737704917</v>
      </c>
      <c r="Q14" s="146">
        <v>9.1346153846153827E-2</v>
      </c>
      <c r="R14" s="146">
        <v>4.4444444444444446E-2</v>
      </c>
      <c r="S14" s="146">
        <v>0</v>
      </c>
      <c r="T14" s="167">
        <v>0.55789999999999995</v>
      </c>
      <c r="U14" s="167">
        <v>3.1600000000000003E-2</v>
      </c>
      <c r="V14" s="168">
        <v>2</v>
      </c>
      <c r="W14" s="169">
        <f>(0-0)/1</f>
        <v>0</v>
      </c>
      <c r="X14" s="169">
        <f>1/1</f>
        <v>1</v>
      </c>
      <c r="Y14" s="168">
        <v>31</v>
      </c>
      <c r="Z14" s="167">
        <f>Y14/'Master''s (2 yr)'!E15</f>
        <v>1</v>
      </c>
    </row>
    <row r="15" spans="1:26" x14ac:dyDescent="0.25">
      <c r="A15" s="3" t="s">
        <v>26</v>
      </c>
      <c r="B15" s="143" t="s">
        <v>156</v>
      </c>
      <c r="C15" s="144">
        <v>215</v>
      </c>
      <c r="D15" s="144">
        <v>437</v>
      </c>
      <c r="E15" s="130">
        <v>247.4</v>
      </c>
      <c r="F15" s="132">
        <v>136.4</v>
      </c>
      <c r="G15" s="132">
        <v>110.6</v>
      </c>
      <c r="H15" s="49">
        <v>3.3982683462321783</v>
      </c>
      <c r="I15" s="164">
        <v>3.4488284144144141</v>
      </c>
      <c r="J15" s="164">
        <v>3.4421563411764704</v>
      </c>
      <c r="K15" s="142">
        <v>145.60685483870967</v>
      </c>
      <c r="L15" s="165">
        <v>147.12030075187971</v>
      </c>
      <c r="M15" s="165">
        <v>145.39861351819758</v>
      </c>
      <c r="N15" s="142">
        <v>149.49395161290323</v>
      </c>
      <c r="O15" s="165">
        <v>151.33684210526314</v>
      </c>
      <c r="P15" s="166">
        <v>150.95493934142115</v>
      </c>
      <c r="Q15" s="146">
        <v>0.31366208569118836</v>
      </c>
      <c r="R15" s="146">
        <v>0.2404692082111437</v>
      </c>
      <c r="S15" s="146">
        <v>0.28390596745027125</v>
      </c>
      <c r="T15" s="167">
        <v>0.82530000000000003</v>
      </c>
      <c r="U15" s="167">
        <v>5.9299999999999999E-2</v>
      </c>
      <c r="V15" s="168">
        <v>39</v>
      </c>
      <c r="W15" s="169">
        <f>(0-0)/4</f>
        <v>0</v>
      </c>
      <c r="X15" s="169">
        <f>4/4</f>
        <v>1</v>
      </c>
      <c r="Y15" s="168">
        <v>1</v>
      </c>
      <c r="Z15" s="167">
        <f>Y15/'Master''s (2 yr)'!E16</f>
        <v>7.1942446043165471E-3</v>
      </c>
    </row>
    <row r="16" spans="1:26" x14ac:dyDescent="0.25">
      <c r="A16" s="3" t="s">
        <v>123</v>
      </c>
      <c r="B16" s="143" t="s">
        <v>156</v>
      </c>
      <c r="C16" s="144">
        <v>215</v>
      </c>
      <c r="D16" s="144">
        <v>52</v>
      </c>
      <c r="E16" s="130">
        <v>31.6</v>
      </c>
      <c r="F16" s="132">
        <v>25.2</v>
      </c>
      <c r="G16" s="132">
        <v>23.4</v>
      </c>
      <c r="H16" s="168">
        <v>3.68</v>
      </c>
      <c r="I16" s="168">
        <v>3.72</v>
      </c>
      <c r="J16" s="168">
        <v>3.73</v>
      </c>
      <c r="K16" s="142">
        <v>146.54054054054055</v>
      </c>
      <c r="L16" s="165">
        <v>147.02380952380952</v>
      </c>
      <c r="M16" s="165">
        <v>146.33613445378151</v>
      </c>
      <c r="N16" s="142">
        <v>148.42567567567568</v>
      </c>
      <c r="O16" s="165">
        <v>149.38888888888889</v>
      </c>
      <c r="P16" s="166">
        <v>149.19327731092437</v>
      </c>
      <c r="Q16" s="146">
        <v>0.18354430379746836</v>
      </c>
      <c r="R16" s="146">
        <v>0.16666666666666663</v>
      </c>
      <c r="S16" s="146">
        <v>0.17948717948717949</v>
      </c>
      <c r="T16" s="167">
        <v>1</v>
      </c>
      <c r="U16" s="167">
        <v>0</v>
      </c>
      <c r="V16" s="168">
        <v>8</v>
      </c>
      <c r="W16" s="169">
        <f>(0-0)/16</f>
        <v>0</v>
      </c>
      <c r="X16" s="169">
        <f>16/16</f>
        <v>1</v>
      </c>
      <c r="Y16" s="168">
        <v>0</v>
      </c>
      <c r="Z16" s="167">
        <f>Y16/'Master''s (2 yr)'!E17</f>
        <v>0</v>
      </c>
    </row>
    <row r="17" spans="1:26" x14ac:dyDescent="0.25">
      <c r="A17" s="3" t="s">
        <v>8</v>
      </c>
      <c r="B17" s="143" t="s">
        <v>156</v>
      </c>
      <c r="C17" s="144">
        <v>215</v>
      </c>
      <c r="D17" s="144">
        <v>54</v>
      </c>
      <c r="E17" s="130">
        <v>27.4</v>
      </c>
      <c r="F17" s="132">
        <v>13.4</v>
      </c>
      <c r="G17" s="132">
        <v>10</v>
      </c>
      <c r="H17" s="49">
        <v>3.3270828229166658</v>
      </c>
      <c r="I17" s="164">
        <v>3.3660712678571429</v>
      </c>
      <c r="J17" s="164">
        <v>3.3652169999999995</v>
      </c>
      <c r="K17" s="142">
        <v>148.9</v>
      </c>
      <c r="L17" s="165">
        <v>150.42424242424244</v>
      </c>
      <c r="M17" s="165">
        <v>149.88</v>
      </c>
      <c r="N17" s="142">
        <v>149.38181818181818</v>
      </c>
      <c r="O17" s="165">
        <v>151.75757575757575</v>
      </c>
      <c r="P17" s="166">
        <v>152.32</v>
      </c>
      <c r="Q17" s="146">
        <v>0.21167883211678831</v>
      </c>
      <c r="R17" s="146">
        <v>0.13432835820895522</v>
      </c>
      <c r="S17" s="146">
        <v>0.16</v>
      </c>
      <c r="T17" s="167">
        <v>0.53569999999999995</v>
      </c>
      <c r="U17" s="167">
        <v>2.3800000000000002E-2</v>
      </c>
      <c r="V17" s="168">
        <v>9</v>
      </c>
      <c r="W17" s="169">
        <f>(1-0)/4</f>
        <v>0.25</v>
      </c>
      <c r="X17" s="169">
        <f>3/4</f>
        <v>0.75</v>
      </c>
      <c r="Y17" s="168">
        <v>0</v>
      </c>
      <c r="Z17" s="167">
        <f>Y17/'Master''s (2 yr)'!E18</f>
        <v>0</v>
      </c>
    </row>
    <row r="18" spans="1:26" x14ac:dyDescent="0.25">
      <c r="A18" s="3" t="s">
        <v>127</v>
      </c>
      <c r="B18" s="143" t="s">
        <v>156</v>
      </c>
      <c r="C18" s="144">
        <v>215</v>
      </c>
      <c r="D18" s="144">
        <v>57</v>
      </c>
      <c r="E18" s="130">
        <v>152.19999999999999</v>
      </c>
      <c r="F18" s="132">
        <v>136.80000000000001</v>
      </c>
      <c r="G18" s="132">
        <v>127.4</v>
      </c>
      <c r="H18" s="49">
        <v>3.6213110409836062</v>
      </c>
      <c r="I18" s="164">
        <v>3.6400592750373697</v>
      </c>
      <c r="J18" s="164">
        <v>3.6497612019077899</v>
      </c>
      <c r="K18" s="142">
        <v>147.79378531073445</v>
      </c>
      <c r="L18" s="165">
        <v>148.01519756838906</v>
      </c>
      <c r="M18" s="165">
        <v>147.98861788617887</v>
      </c>
      <c r="N18" s="142">
        <v>150.40112994350284</v>
      </c>
      <c r="O18" s="165">
        <v>150.77777777777777</v>
      </c>
      <c r="P18" s="166">
        <v>150.81107491856679</v>
      </c>
      <c r="Q18" s="146">
        <v>0.14454664914586071</v>
      </c>
      <c r="R18" s="146">
        <v>0.14181286549707603</v>
      </c>
      <c r="S18" s="146">
        <v>0.14913657770800628</v>
      </c>
      <c r="T18" s="167">
        <v>0.9385</v>
      </c>
      <c r="U18" s="167">
        <v>8.2000000000000007E-3</v>
      </c>
      <c r="V18" s="168">
        <v>11</v>
      </c>
      <c r="W18" s="169">
        <f>(3-1)/52</f>
        <v>3.8461538461538464E-2</v>
      </c>
      <c r="X18" s="169">
        <f>49/52</f>
        <v>0.94230769230769229</v>
      </c>
      <c r="Y18" s="168">
        <v>0</v>
      </c>
      <c r="Z18" s="167">
        <f>Y18/'Master''s (2 yr)'!E19</f>
        <v>0</v>
      </c>
    </row>
    <row r="19" spans="1:26" x14ac:dyDescent="0.25">
      <c r="A19" s="3" t="s">
        <v>129</v>
      </c>
      <c r="B19" s="143" t="s">
        <v>156</v>
      </c>
      <c r="C19" s="144">
        <v>215</v>
      </c>
      <c r="D19" s="144">
        <v>61</v>
      </c>
      <c r="E19" s="130">
        <v>32.200000000000003</v>
      </c>
      <c r="F19" s="132">
        <v>25.4</v>
      </c>
      <c r="G19" s="132">
        <v>20.6</v>
      </c>
      <c r="H19" s="71">
        <v>3.4852938529411763</v>
      </c>
      <c r="I19" s="164">
        <v>3.5008193852459013</v>
      </c>
      <c r="J19" s="164">
        <v>3.4829996999999993</v>
      </c>
      <c r="K19" s="142">
        <v>148.65517241379311</v>
      </c>
      <c r="L19" s="165">
        <v>148.74193548387098</v>
      </c>
      <c r="M19" s="165">
        <v>147.91262135922329</v>
      </c>
      <c r="N19" s="142">
        <v>156.40689655172415</v>
      </c>
      <c r="O19" s="165">
        <v>157.08870967741936</v>
      </c>
      <c r="P19" s="166">
        <v>156.95145631067962</v>
      </c>
      <c r="Q19" s="146">
        <v>0.14285714285714285</v>
      </c>
      <c r="R19" s="146">
        <v>0.14960629921259844</v>
      </c>
      <c r="S19" s="146">
        <v>0.11650485436893204</v>
      </c>
      <c r="T19" s="167">
        <v>0.77549999999999997</v>
      </c>
      <c r="U19" s="167">
        <v>0</v>
      </c>
      <c r="V19" s="168">
        <v>6</v>
      </c>
      <c r="W19" s="169">
        <f>(1-0)/10</f>
        <v>0.1</v>
      </c>
      <c r="X19" s="169">
        <f>9/10</f>
        <v>0.9</v>
      </c>
      <c r="Y19" s="168">
        <v>0</v>
      </c>
      <c r="Z19" s="167">
        <f>Y19/'Master''s (2 yr)'!E20</f>
        <v>0</v>
      </c>
    </row>
    <row r="20" spans="1:26" x14ac:dyDescent="0.25">
      <c r="A20" s="113" t="s">
        <v>488</v>
      </c>
      <c r="B20" s="143" t="s">
        <v>201</v>
      </c>
      <c r="C20" s="170">
        <v>219</v>
      </c>
      <c r="D20" s="170">
        <v>571</v>
      </c>
      <c r="E20" s="171"/>
      <c r="F20" s="171"/>
      <c r="G20" s="171"/>
      <c r="H20" s="172"/>
      <c r="I20" s="172"/>
      <c r="J20" s="172"/>
      <c r="K20" s="172"/>
      <c r="L20" s="172"/>
      <c r="M20" s="172"/>
      <c r="N20" s="172"/>
      <c r="O20" s="172"/>
      <c r="P20" s="172"/>
      <c r="Q20" s="172"/>
      <c r="R20" s="172"/>
      <c r="S20" s="172"/>
      <c r="T20" s="173">
        <v>0.75</v>
      </c>
      <c r="U20" s="173">
        <v>0.125</v>
      </c>
      <c r="V20" s="168">
        <v>2</v>
      </c>
      <c r="W20" s="172" t="s">
        <v>451</v>
      </c>
      <c r="X20" s="172" t="s">
        <v>451</v>
      </c>
      <c r="Y20" s="168">
        <v>4</v>
      </c>
      <c r="Z20" s="167">
        <f>Y20/'Master''s (2 yr)'!E57</f>
        <v>0.5714285714285714</v>
      </c>
    </row>
    <row r="21" spans="1:26" x14ac:dyDescent="0.25">
      <c r="A21" s="3" t="s">
        <v>121</v>
      </c>
      <c r="B21" s="143" t="s">
        <v>144</v>
      </c>
      <c r="C21" s="144">
        <v>222</v>
      </c>
      <c r="D21" s="144">
        <v>539</v>
      </c>
      <c r="E21" s="130">
        <v>9.4</v>
      </c>
      <c r="F21" s="132">
        <v>5.2</v>
      </c>
      <c r="G21" s="132">
        <v>3.4</v>
      </c>
      <c r="H21" s="49">
        <v>3.5178570714285717</v>
      </c>
      <c r="I21" s="164">
        <v>3.4823529411764702</v>
      </c>
      <c r="J21" s="164">
        <v>3.44</v>
      </c>
      <c r="K21" s="174">
        <v>145.71</v>
      </c>
      <c r="L21" s="174">
        <v>145.75</v>
      </c>
      <c r="M21" s="174">
        <v>144.59</v>
      </c>
      <c r="N21" s="142">
        <v>151.49</v>
      </c>
      <c r="O21" s="174">
        <v>151.5</v>
      </c>
      <c r="P21" s="166">
        <v>150.71</v>
      </c>
      <c r="Q21" s="146">
        <v>0.23404255319148937</v>
      </c>
      <c r="R21" s="146">
        <v>0.11538461538461538</v>
      </c>
      <c r="S21" s="146">
        <v>0.17647058823529413</v>
      </c>
      <c r="T21" s="167">
        <v>0</v>
      </c>
      <c r="U21" s="167">
        <v>0</v>
      </c>
      <c r="V21" s="168">
        <v>0</v>
      </c>
      <c r="W21" s="169">
        <v>0</v>
      </c>
      <c r="X21" s="169">
        <v>0</v>
      </c>
      <c r="Y21" s="168">
        <v>0</v>
      </c>
      <c r="Z21" s="167">
        <v>0</v>
      </c>
    </row>
    <row r="22" spans="1:26" x14ac:dyDescent="0.25">
      <c r="A22" s="3" t="s">
        <v>71</v>
      </c>
      <c r="B22" s="143" t="s">
        <v>335</v>
      </c>
      <c r="C22" s="144">
        <v>222</v>
      </c>
      <c r="D22" s="144">
        <v>73</v>
      </c>
      <c r="E22" s="130">
        <v>22</v>
      </c>
      <c r="F22" s="132">
        <v>9.4</v>
      </c>
      <c r="G22" s="132">
        <v>4.4000000000000004</v>
      </c>
      <c r="H22" s="71">
        <v>3.4859996400000002</v>
      </c>
      <c r="I22" s="164">
        <v>3.4971426857142855</v>
      </c>
      <c r="J22" s="164">
        <v>3.4789473157894735</v>
      </c>
      <c r="K22" s="142">
        <v>157.35353535353536</v>
      </c>
      <c r="L22" s="165">
        <v>154.61702127659575</v>
      </c>
      <c r="M22" s="165">
        <v>152.66666666666666</v>
      </c>
      <c r="N22" s="142">
        <v>154.03030303030303</v>
      </c>
      <c r="O22" s="165">
        <v>156.12765957446808</v>
      </c>
      <c r="P22" s="166">
        <v>155.70833333333334</v>
      </c>
      <c r="Q22" s="146">
        <v>9.0909090909090912E-2</v>
      </c>
      <c r="R22" s="146">
        <v>0.14893617021276595</v>
      </c>
      <c r="S22" s="146">
        <v>0.18181818181818182</v>
      </c>
      <c r="T22" s="167">
        <v>0</v>
      </c>
      <c r="U22" s="167">
        <v>0</v>
      </c>
      <c r="V22" s="168">
        <v>0</v>
      </c>
      <c r="W22" s="169">
        <v>0</v>
      </c>
      <c r="X22" s="169">
        <v>0</v>
      </c>
      <c r="Y22" s="168">
        <v>0</v>
      </c>
      <c r="Z22" s="167">
        <v>0</v>
      </c>
    </row>
    <row r="23" spans="1:26" x14ac:dyDescent="0.25">
      <c r="A23" s="3" t="s">
        <v>253</v>
      </c>
      <c r="B23" s="143" t="s">
        <v>335</v>
      </c>
      <c r="C23" s="144">
        <v>222</v>
      </c>
      <c r="D23" s="144">
        <v>74</v>
      </c>
      <c r="E23" s="130">
        <v>29</v>
      </c>
      <c r="F23" s="132">
        <v>8.8000000000000007</v>
      </c>
      <c r="G23" s="132">
        <v>5.4</v>
      </c>
      <c r="H23" s="49">
        <v>3.3455354017857144</v>
      </c>
      <c r="I23" s="164">
        <v>3.4999996756756757</v>
      </c>
      <c r="J23" s="164">
        <v>3.4608695652173909</v>
      </c>
      <c r="K23" s="142">
        <v>153.23664122137404</v>
      </c>
      <c r="L23" s="165">
        <v>153.79545454545453</v>
      </c>
      <c r="M23" s="165">
        <v>153.14814814814815</v>
      </c>
      <c r="N23" s="142">
        <v>152.74809160305344</v>
      </c>
      <c r="O23" s="165">
        <v>153.31818181818181</v>
      </c>
      <c r="P23" s="166">
        <v>152.4814814814815</v>
      </c>
      <c r="Q23" s="146">
        <v>8.2758620689655171E-2</v>
      </c>
      <c r="R23" s="146">
        <v>0.11363636363636363</v>
      </c>
      <c r="S23" s="146">
        <v>0.1111111111111111</v>
      </c>
      <c r="T23" s="167">
        <v>0</v>
      </c>
      <c r="U23" s="167">
        <v>0</v>
      </c>
      <c r="V23" s="168">
        <v>0</v>
      </c>
      <c r="W23" s="169">
        <f>(0-0)/1</f>
        <v>0</v>
      </c>
      <c r="X23" s="169">
        <f>1/1</f>
        <v>1</v>
      </c>
      <c r="Y23" s="168">
        <v>0</v>
      </c>
      <c r="Z23" s="167">
        <v>0</v>
      </c>
    </row>
    <row r="24" spans="1:26" x14ac:dyDescent="0.25">
      <c r="A24" s="3" t="s">
        <v>196</v>
      </c>
      <c r="B24" s="143" t="s">
        <v>197</v>
      </c>
      <c r="C24" s="144">
        <v>219</v>
      </c>
      <c r="D24" s="144">
        <v>76</v>
      </c>
      <c r="E24" s="130">
        <v>81.8</v>
      </c>
      <c r="F24" s="132">
        <v>30.6</v>
      </c>
      <c r="G24" s="132">
        <v>19.8</v>
      </c>
      <c r="H24" s="47">
        <v>3.3445540363036308</v>
      </c>
      <c r="I24" s="166">
        <v>3.4514282285714284</v>
      </c>
      <c r="J24" s="166">
        <v>3.4404252765957453</v>
      </c>
      <c r="K24" s="142">
        <v>151.09</v>
      </c>
      <c r="L24" s="174">
        <v>151.94573643410854</v>
      </c>
      <c r="M24" s="174">
        <v>151.12</v>
      </c>
      <c r="N24" s="142">
        <v>151.63</v>
      </c>
      <c r="O24" s="174">
        <v>153.30000000000001</v>
      </c>
      <c r="P24" s="166">
        <v>152.88</v>
      </c>
      <c r="Q24" s="146">
        <v>0.17069999999999999</v>
      </c>
      <c r="R24" s="146">
        <v>0.16993464052287582</v>
      </c>
      <c r="S24" s="146">
        <v>0.14141414141414141</v>
      </c>
      <c r="T24" s="167">
        <v>0.47289999999999999</v>
      </c>
      <c r="U24" s="167">
        <v>0</v>
      </c>
      <c r="V24" s="168">
        <v>7</v>
      </c>
      <c r="W24" s="169">
        <f>(0-0)/9</f>
        <v>0</v>
      </c>
      <c r="X24" s="169">
        <f>9/9</f>
        <v>1</v>
      </c>
      <c r="Y24" s="168">
        <v>1</v>
      </c>
      <c r="Z24" s="167">
        <f>Y24/'Master''s (2 yr)'!E24</f>
        <v>2.4390243902439025E-2</v>
      </c>
    </row>
    <row r="25" spans="1:26" x14ac:dyDescent="0.25">
      <c r="A25" s="3" t="s">
        <v>361</v>
      </c>
      <c r="B25" s="143" t="s">
        <v>362</v>
      </c>
      <c r="C25" s="144">
        <v>214</v>
      </c>
      <c r="D25" s="144">
        <v>507</v>
      </c>
      <c r="E25" s="130">
        <v>8</v>
      </c>
      <c r="F25" s="132">
        <v>5.2</v>
      </c>
      <c r="G25" s="132">
        <v>2.2000000000000002</v>
      </c>
      <c r="H25" s="47">
        <v>3.3115383461538461</v>
      </c>
      <c r="I25" s="164">
        <v>3.3687497500000001</v>
      </c>
      <c r="J25" s="164">
        <v>3.3999997999999998</v>
      </c>
      <c r="K25" s="165">
        <v>152.08000000000001</v>
      </c>
      <c r="L25" s="168">
        <v>153.69</v>
      </c>
      <c r="M25" s="168">
        <v>148.09</v>
      </c>
      <c r="N25" s="142">
        <v>153.91891891891891</v>
      </c>
      <c r="O25" s="165">
        <v>155.65384615384616</v>
      </c>
      <c r="P25" s="166">
        <v>155.09090909090909</v>
      </c>
      <c r="Q25" s="146">
        <v>2.5000000000000001E-2</v>
      </c>
      <c r="R25" s="146">
        <v>3.8461538461538464E-2</v>
      </c>
      <c r="S25" s="146">
        <v>9.0909090909090912E-2</v>
      </c>
      <c r="T25" s="167">
        <v>0.77780000000000005</v>
      </c>
      <c r="U25" s="167">
        <v>0</v>
      </c>
      <c r="V25" s="168">
        <v>0</v>
      </c>
      <c r="W25" s="169">
        <f>(0-0)/1</f>
        <v>0</v>
      </c>
      <c r="X25" s="169">
        <f>1/1</f>
        <v>1</v>
      </c>
      <c r="Y25" s="168">
        <v>0</v>
      </c>
      <c r="Z25" s="167">
        <f>Y25/'Master''s (2 yr)'!E25</f>
        <v>0</v>
      </c>
    </row>
    <row r="26" spans="1:26" x14ac:dyDescent="0.25">
      <c r="A26" s="3" t="s">
        <v>206</v>
      </c>
      <c r="B26" s="143" t="s">
        <v>207</v>
      </c>
      <c r="C26" s="144">
        <v>214</v>
      </c>
      <c r="D26" s="144">
        <v>85</v>
      </c>
      <c r="E26" s="130">
        <v>19.399999999999999</v>
      </c>
      <c r="F26" s="132">
        <v>11.4</v>
      </c>
      <c r="G26" s="132">
        <v>6.4</v>
      </c>
      <c r="H26" s="49">
        <v>3.4696424821428571</v>
      </c>
      <c r="I26" s="164">
        <v>3.4439020975609753</v>
      </c>
      <c r="J26" s="164">
        <v>3.3740739259259254</v>
      </c>
      <c r="K26" s="165">
        <v>148.97999999999999</v>
      </c>
      <c r="L26" s="168">
        <v>150.49</v>
      </c>
      <c r="M26" s="168">
        <v>149.16</v>
      </c>
      <c r="N26" s="142">
        <v>146.57142857142858</v>
      </c>
      <c r="O26" s="165">
        <v>148.43859649122808</v>
      </c>
      <c r="P26" s="166">
        <v>149.1875</v>
      </c>
      <c r="Q26" s="146">
        <v>9.2799999999999994E-2</v>
      </c>
      <c r="R26" s="146">
        <v>0.10529999999999999</v>
      </c>
      <c r="S26" s="146">
        <v>0.125</v>
      </c>
      <c r="T26" s="167">
        <v>0.96299999999999997</v>
      </c>
      <c r="U26" s="167">
        <v>0.16669999999999999</v>
      </c>
      <c r="V26" s="168">
        <v>2</v>
      </c>
      <c r="W26" s="169">
        <f>(2-0)/2</f>
        <v>1</v>
      </c>
      <c r="X26" s="169">
        <f>0/2</f>
        <v>0</v>
      </c>
      <c r="Y26" s="168">
        <v>4</v>
      </c>
      <c r="Z26" s="167">
        <f>Y26/'Master''s (2 yr)'!E26</f>
        <v>0.25</v>
      </c>
    </row>
    <row r="27" spans="1:26" x14ac:dyDescent="0.25">
      <c r="A27" s="3" t="s">
        <v>214</v>
      </c>
      <c r="B27" s="143" t="s">
        <v>215</v>
      </c>
      <c r="C27" s="144">
        <v>214</v>
      </c>
      <c r="D27" s="144">
        <v>87</v>
      </c>
      <c r="E27" s="130">
        <v>52.2</v>
      </c>
      <c r="F27" s="132">
        <v>28.8</v>
      </c>
      <c r="G27" s="132">
        <v>12.6</v>
      </c>
      <c r="H27" s="49">
        <v>3.3481478055555556</v>
      </c>
      <c r="I27" s="164">
        <v>3.4126579873417722</v>
      </c>
      <c r="J27" s="164">
        <v>3.4065217391304343</v>
      </c>
      <c r="K27" s="165">
        <v>155.33000000000001</v>
      </c>
      <c r="L27" s="168">
        <v>154.76</v>
      </c>
      <c r="M27" s="168">
        <v>151.83000000000001</v>
      </c>
      <c r="N27" s="142">
        <v>149.50632911392404</v>
      </c>
      <c r="O27" s="165">
        <v>151.42657342657341</v>
      </c>
      <c r="P27" s="166">
        <v>152.49230769230769</v>
      </c>
      <c r="Q27" s="146">
        <v>7.662835249042145E-2</v>
      </c>
      <c r="R27" s="146">
        <v>9.0277777777777762E-2</v>
      </c>
      <c r="S27" s="146">
        <v>9.5238095238095233E-2</v>
      </c>
      <c r="T27" s="167">
        <v>0.5806</v>
      </c>
      <c r="U27" s="167">
        <v>0.18279999999999999</v>
      </c>
      <c r="V27" s="168">
        <v>4</v>
      </c>
      <c r="W27" s="169">
        <f>(1-0)/2</f>
        <v>0.5</v>
      </c>
      <c r="X27" s="169">
        <f>1/1</f>
        <v>1</v>
      </c>
      <c r="Y27" s="168">
        <v>1</v>
      </c>
      <c r="Z27" s="167">
        <f>Y27/'Master''s (2 yr)'!E27</f>
        <v>3.3333333333333333E-2</v>
      </c>
    </row>
    <row r="28" spans="1:26" x14ac:dyDescent="0.25">
      <c r="A28" s="3" t="s">
        <v>77</v>
      </c>
      <c r="B28" s="143" t="s">
        <v>144</v>
      </c>
      <c r="C28" s="144">
        <v>222</v>
      </c>
      <c r="D28" s="144">
        <v>88</v>
      </c>
      <c r="E28" s="130">
        <v>6.2</v>
      </c>
      <c r="F28" s="132">
        <v>3.4</v>
      </c>
      <c r="G28" s="132">
        <v>2.2000000000000002</v>
      </c>
      <c r="H28" s="49">
        <v>3.4678570714285719</v>
      </c>
      <c r="I28" s="164">
        <v>3.5933330666666663</v>
      </c>
      <c r="J28" s="164">
        <v>3.6</v>
      </c>
      <c r="K28" s="142">
        <v>150.34615384615384</v>
      </c>
      <c r="L28" s="165">
        <v>150.6</v>
      </c>
      <c r="M28" s="165">
        <v>152.1</v>
      </c>
      <c r="N28" s="142">
        <v>162.42307692307693</v>
      </c>
      <c r="O28" s="165">
        <v>163.33333333333334</v>
      </c>
      <c r="P28" s="166">
        <v>162.19999999999999</v>
      </c>
      <c r="Q28" s="146">
        <v>0.12903225806451613</v>
      </c>
      <c r="R28" s="146">
        <v>0.23529411764705879</v>
      </c>
      <c r="S28" s="146">
        <v>0.18181818181818182</v>
      </c>
      <c r="T28" s="167">
        <v>0</v>
      </c>
      <c r="U28" s="167">
        <v>0</v>
      </c>
      <c r="V28" s="168">
        <v>0</v>
      </c>
      <c r="W28" s="169">
        <v>0</v>
      </c>
      <c r="X28" s="169">
        <v>0</v>
      </c>
      <c r="Y28" s="168">
        <v>0</v>
      </c>
      <c r="Z28" s="167">
        <v>0</v>
      </c>
    </row>
    <row r="29" spans="1:26" x14ac:dyDescent="0.25">
      <c r="A29" s="3" t="s">
        <v>79</v>
      </c>
      <c r="B29" s="143" t="s">
        <v>144</v>
      </c>
      <c r="C29" s="144">
        <v>222</v>
      </c>
      <c r="D29" s="144">
        <v>89</v>
      </c>
      <c r="E29" s="130">
        <v>60</v>
      </c>
      <c r="F29" s="132">
        <v>35.6</v>
      </c>
      <c r="G29" s="132">
        <v>17.600000000000001</v>
      </c>
      <c r="H29" s="49">
        <v>3.4920699074889865</v>
      </c>
      <c r="I29" s="164">
        <v>3.5717387681159418</v>
      </c>
      <c r="J29" s="164">
        <v>3.5529409117647055</v>
      </c>
      <c r="K29" s="142">
        <v>148.60384615384615</v>
      </c>
      <c r="L29" s="165">
        <v>149.89595375722544</v>
      </c>
      <c r="M29" s="165">
        <v>149.16470588235293</v>
      </c>
      <c r="N29" s="142">
        <v>154.49230769230769</v>
      </c>
      <c r="O29" s="165">
        <v>155.6878612716763</v>
      </c>
      <c r="P29" s="166">
        <v>155.41176470588235</v>
      </c>
      <c r="Q29" s="146">
        <v>0.28000000000000003</v>
      </c>
      <c r="R29" s="146">
        <v>0.20786516853932585</v>
      </c>
      <c r="S29" s="146">
        <v>0.23863636363636365</v>
      </c>
      <c r="T29" s="167">
        <v>0</v>
      </c>
      <c r="U29" s="167">
        <v>0</v>
      </c>
      <c r="V29" s="168">
        <v>0</v>
      </c>
      <c r="W29" s="169">
        <f>(0-0)/9</f>
        <v>0</v>
      </c>
      <c r="X29" s="169">
        <f>9/9</f>
        <v>1</v>
      </c>
      <c r="Y29" s="168">
        <v>0</v>
      </c>
      <c r="Z29" s="167">
        <v>0</v>
      </c>
    </row>
    <row r="30" spans="1:26" x14ac:dyDescent="0.25">
      <c r="A30" s="3" t="s">
        <v>14</v>
      </c>
      <c r="B30" s="143" t="s">
        <v>156</v>
      </c>
      <c r="C30" s="144">
        <v>215</v>
      </c>
      <c r="D30" s="144">
        <v>91</v>
      </c>
      <c r="E30" s="130">
        <v>39.200000000000003</v>
      </c>
      <c r="F30" s="132">
        <v>17.399999999999999</v>
      </c>
      <c r="G30" s="132">
        <v>10.4</v>
      </c>
      <c r="H30" s="71">
        <v>3.5036805276073619</v>
      </c>
      <c r="I30" s="164">
        <v>3.5746830632911388</v>
      </c>
      <c r="J30" s="164">
        <v>3.5869560652173917</v>
      </c>
      <c r="K30" s="142">
        <v>149.55357142857142</v>
      </c>
      <c r="L30" s="165">
        <v>150.7764705882353</v>
      </c>
      <c r="M30" s="165">
        <v>150.64705882352942</v>
      </c>
      <c r="N30" s="142">
        <v>151.82738095238096</v>
      </c>
      <c r="O30" s="165">
        <v>153.45882352941177</v>
      </c>
      <c r="P30" s="166">
        <v>153.90196078431373</v>
      </c>
      <c r="Q30" s="146">
        <v>0.25</v>
      </c>
      <c r="R30" s="146">
        <v>0.25287356321839083</v>
      </c>
      <c r="S30" s="146">
        <v>0.26923076923076922</v>
      </c>
      <c r="T30" s="167">
        <v>0.84619999999999995</v>
      </c>
      <c r="U30" s="167">
        <v>2.1999999999999999E-2</v>
      </c>
      <c r="V30" s="168">
        <v>9</v>
      </c>
      <c r="W30" s="169">
        <f>(4-1)/7</f>
        <v>0.42857142857142855</v>
      </c>
      <c r="X30" s="169">
        <f>3/7</f>
        <v>0.42857142857142855</v>
      </c>
      <c r="Y30" s="168">
        <v>1</v>
      </c>
      <c r="Z30" s="167">
        <f>Y30/'Master''s (2 yr)'!E30</f>
        <v>3.2258064516129031E-2</v>
      </c>
    </row>
    <row r="31" spans="1:26" x14ac:dyDescent="0.25">
      <c r="A31" s="3" t="s">
        <v>83</v>
      </c>
      <c r="B31" s="143" t="s">
        <v>144</v>
      </c>
      <c r="C31" s="144">
        <v>222</v>
      </c>
      <c r="D31" s="144">
        <v>94</v>
      </c>
      <c r="E31" s="130">
        <v>35</v>
      </c>
      <c r="F31" s="132">
        <v>8.6</v>
      </c>
      <c r="G31" s="132">
        <v>4.2</v>
      </c>
      <c r="H31" s="49">
        <v>3.4395830833333338</v>
      </c>
      <c r="I31" s="164">
        <v>3.5964285714285715</v>
      </c>
      <c r="J31" s="164">
        <v>3.5937498750000003</v>
      </c>
      <c r="K31" s="142">
        <v>161.37662337662337</v>
      </c>
      <c r="L31" s="165">
        <v>162.81395348837211</v>
      </c>
      <c r="M31" s="165">
        <v>162.72727272727272</v>
      </c>
      <c r="N31" s="142">
        <v>152.98701298701297</v>
      </c>
      <c r="O31" s="165">
        <v>155.41860465116278</v>
      </c>
      <c r="P31" s="166">
        <v>157</v>
      </c>
      <c r="Q31" s="146">
        <v>8.5714285714285715E-2</v>
      </c>
      <c r="R31" s="146">
        <v>2.3255813953488372E-2</v>
      </c>
      <c r="S31" s="146">
        <v>4.7619047619047616E-2</v>
      </c>
      <c r="T31" s="167">
        <v>1</v>
      </c>
      <c r="U31" s="167">
        <v>0</v>
      </c>
      <c r="V31" s="168">
        <v>0</v>
      </c>
      <c r="W31" s="169">
        <f>(0-0)/1</f>
        <v>0</v>
      </c>
      <c r="X31" s="169">
        <f>1/1</f>
        <v>1</v>
      </c>
      <c r="Y31" s="168">
        <v>1</v>
      </c>
      <c r="Z31" s="167">
        <f>Y31/'Master''s (2 yr)'!E31</f>
        <v>1</v>
      </c>
    </row>
    <row r="32" spans="1:26" x14ac:dyDescent="0.25">
      <c r="A32" s="68" t="s">
        <v>83</v>
      </c>
      <c r="B32" s="143" t="s">
        <v>335</v>
      </c>
      <c r="C32" s="144">
        <v>222</v>
      </c>
      <c r="D32" s="144">
        <v>94</v>
      </c>
      <c r="E32" s="130">
        <v>35</v>
      </c>
      <c r="F32" s="132">
        <v>8.6</v>
      </c>
      <c r="G32" s="132">
        <v>4.2</v>
      </c>
      <c r="H32" s="49">
        <v>3.4395830833333338</v>
      </c>
      <c r="I32" s="164">
        <v>3.5964285714285715</v>
      </c>
      <c r="J32" s="164">
        <v>3.5937498750000003</v>
      </c>
      <c r="K32" s="142">
        <v>161.37662337662337</v>
      </c>
      <c r="L32" s="165">
        <v>162.81395348837211</v>
      </c>
      <c r="M32" s="165">
        <v>162.72727272727272</v>
      </c>
      <c r="N32" s="142">
        <v>152.98701298701297</v>
      </c>
      <c r="O32" s="165">
        <v>155.41860465116278</v>
      </c>
      <c r="P32" s="166">
        <v>157</v>
      </c>
      <c r="Q32" s="146">
        <v>8.5714285714285715E-2</v>
      </c>
      <c r="R32" s="146">
        <v>2.3255813953488372E-2</v>
      </c>
      <c r="S32" s="146">
        <v>4.7619047619047616E-2</v>
      </c>
      <c r="T32" s="167">
        <v>0.5</v>
      </c>
      <c r="U32" s="167">
        <v>0</v>
      </c>
      <c r="V32" s="168">
        <v>0</v>
      </c>
      <c r="W32" s="169">
        <v>0</v>
      </c>
      <c r="X32" s="169">
        <v>0</v>
      </c>
      <c r="Y32" s="168">
        <v>1</v>
      </c>
      <c r="Z32" s="167">
        <f>Y32/'Master''s (2 yr)'!E32</f>
        <v>1</v>
      </c>
    </row>
    <row r="33" spans="1:26" x14ac:dyDescent="0.25">
      <c r="A33" s="3" t="s">
        <v>131</v>
      </c>
      <c r="B33" s="143" t="s">
        <v>156</v>
      </c>
      <c r="C33" s="144">
        <v>215</v>
      </c>
      <c r="D33" s="144">
        <v>95</v>
      </c>
      <c r="E33" s="130">
        <v>12</v>
      </c>
      <c r="F33" s="132">
        <v>6.8</v>
      </c>
      <c r="G33" s="132">
        <v>5</v>
      </c>
      <c r="H33" s="49">
        <v>3.2770832708333337</v>
      </c>
      <c r="I33" s="164">
        <v>3.3406248437500001</v>
      </c>
      <c r="J33" s="164">
        <v>3.4079999200000004</v>
      </c>
      <c r="K33" s="142">
        <v>156.1</v>
      </c>
      <c r="L33" s="165">
        <v>157.02941176470588</v>
      </c>
      <c r="M33" s="165">
        <v>156.28</v>
      </c>
      <c r="N33" s="142">
        <v>151.52000000000001</v>
      </c>
      <c r="O33" s="165">
        <v>153.6764705882353</v>
      </c>
      <c r="P33" s="166">
        <v>153.36000000000001</v>
      </c>
      <c r="Q33" s="146">
        <v>8.3333333333333315E-2</v>
      </c>
      <c r="R33" s="146">
        <v>8.8235294117647065E-2</v>
      </c>
      <c r="S33" s="146">
        <v>0.08</v>
      </c>
      <c r="T33" s="167">
        <v>0.66669999999999996</v>
      </c>
      <c r="U33" s="167">
        <v>0</v>
      </c>
      <c r="V33" s="168">
        <v>1</v>
      </c>
      <c r="W33" s="169">
        <f>(2-1)/3</f>
        <v>0.33333333333333331</v>
      </c>
      <c r="X33" s="169">
        <f>1/3</f>
        <v>0.33333333333333331</v>
      </c>
      <c r="Y33" s="168">
        <v>0</v>
      </c>
      <c r="Z33" s="167">
        <f>Y33/'Master''s (2 yr)'!E33</f>
        <v>0</v>
      </c>
    </row>
    <row r="34" spans="1:26" x14ac:dyDescent="0.25">
      <c r="A34" s="3" t="s">
        <v>16</v>
      </c>
      <c r="B34" s="143" t="s">
        <v>156</v>
      </c>
      <c r="C34" s="144">
        <v>215</v>
      </c>
      <c r="D34" s="144">
        <v>98</v>
      </c>
      <c r="E34" s="130">
        <v>41</v>
      </c>
      <c r="F34" s="132">
        <v>12.4</v>
      </c>
      <c r="G34" s="132">
        <v>8.6</v>
      </c>
      <c r="H34" s="71">
        <v>3.5117315474860336</v>
      </c>
      <c r="I34" s="164">
        <v>3.6133330999999997</v>
      </c>
      <c r="J34" s="164">
        <v>3.5880948809523816</v>
      </c>
      <c r="K34" s="142">
        <v>148.73099415204678</v>
      </c>
      <c r="L34" s="165">
        <v>150.33870967741936</v>
      </c>
      <c r="M34" s="165">
        <v>149.88372093023256</v>
      </c>
      <c r="N34" s="142">
        <v>152.36257309941521</v>
      </c>
      <c r="O34" s="165">
        <v>154.7741935483871</v>
      </c>
      <c r="P34" s="166">
        <v>153.51162790697674</v>
      </c>
      <c r="Q34" s="146">
        <v>0.22926829268292687</v>
      </c>
      <c r="R34" s="146">
        <v>0.22580645161290319</v>
      </c>
      <c r="S34" s="146">
        <v>0.23255813953488372</v>
      </c>
      <c r="T34" s="167">
        <v>0.85370000000000001</v>
      </c>
      <c r="U34" s="167">
        <v>6.5000000000000002E-2</v>
      </c>
      <c r="V34" s="168">
        <v>15</v>
      </c>
      <c r="W34" s="169">
        <f>(2-2)/10</f>
        <v>0</v>
      </c>
      <c r="X34" s="169">
        <f>8/10</f>
        <v>0.8</v>
      </c>
      <c r="Y34" s="168">
        <v>5</v>
      </c>
      <c r="Z34" s="167">
        <f>Y34/'Master''s (2 yr)'!E34</f>
        <v>0.10638297872340426</v>
      </c>
    </row>
    <row r="35" spans="1:26" x14ac:dyDescent="0.25">
      <c r="A35" s="3" t="s">
        <v>322</v>
      </c>
      <c r="B35" s="143" t="s">
        <v>323</v>
      </c>
      <c r="C35" s="144">
        <v>225</v>
      </c>
      <c r="D35" s="144">
        <v>104</v>
      </c>
      <c r="E35" s="130">
        <v>118.6</v>
      </c>
      <c r="F35" s="132">
        <v>73.400000000000006</v>
      </c>
      <c r="G35" s="132">
        <v>63.6</v>
      </c>
      <c r="H35" s="71">
        <v>3.4233123087934558</v>
      </c>
      <c r="I35" s="164">
        <v>3.4652862515923561</v>
      </c>
      <c r="J35" s="164">
        <v>3.4666663731884055</v>
      </c>
      <c r="K35" s="165">
        <v>147.19</v>
      </c>
      <c r="L35" s="168">
        <v>148.07</v>
      </c>
      <c r="M35" s="168">
        <v>147.74</v>
      </c>
      <c r="N35" s="142">
        <v>152.29769392033543</v>
      </c>
      <c r="O35" s="165">
        <v>153.69421487603304</v>
      </c>
      <c r="P35" s="166">
        <v>153.47865853658536</v>
      </c>
      <c r="Q35" s="146">
        <v>0.19392917369308602</v>
      </c>
      <c r="R35" s="146">
        <v>0.13079019073569481</v>
      </c>
      <c r="S35" s="146">
        <v>0.13522012578616352</v>
      </c>
      <c r="T35" s="167">
        <v>0.91859999999999997</v>
      </c>
      <c r="U35" s="167">
        <v>1.6899999999999998E-2</v>
      </c>
      <c r="V35" s="168">
        <v>15</v>
      </c>
      <c r="W35" s="169">
        <f>(4-1)/51</f>
        <v>5.8823529411764705E-2</v>
      </c>
      <c r="X35" s="169">
        <f>47/51</f>
        <v>0.92156862745098034</v>
      </c>
      <c r="Y35" s="168">
        <v>0</v>
      </c>
      <c r="Z35" s="167">
        <f>Y35/'Master''s (2 yr)'!E35</f>
        <v>0</v>
      </c>
    </row>
    <row r="36" spans="1:26" x14ac:dyDescent="0.25">
      <c r="A36" s="3" t="s">
        <v>200</v>
      </c>
      <c r="B36" s="143" t="s">
        <v>201</v>
      </c>
      <c r="C36" s="144">
        <v>219</v>
      </c>
      <c r="D36" s="144">
        <v>106</v>
      </c>
      <c r="E36" s="130">
        <v>124.6</v>
      </c>
      <c r="F36" s="132">
        <v>51.8</v>
      </c>
      <c r="G36" s="132">
        <v>48.4</v>
      </c>
      <c r="H36" s="49">
        <v>3.4676516400000001</v>
      </c>
      <c r="I36" s="164">
        <v>3.6489955582329316</v>
      </c>
      <c r="J36" s="164">
        <v>3.6472099999999994</v>
      </c>
      <c r="K36" s="165">
        <v>147.84</v>
      </c>
      <c r="L36" s="168">
        <v>150.26</v>
      </c>
      <c r="M36" s="168">
        <v>150.03</v>
      </c>
      <c r="N36" s="142">
        <v>150.47602131438722</v>
      </c>
      <c r="O36" s="165">
        <v>153.07843137254903</v>
      </c>
      <c r="P36" s="166">
        <v>152.91</v>
      </c>
      <c r="Q36" s="146">
        <v>0.19579999999999997</v>
      </c>
      <c r="R36" s="146">
        <v>0.15439999999999998</v>
      </c>
      <c r="S36" s="146">
        <v>0.157</v>
      </c>
      <c r="T36" s="167">
        <v>0.75</v>
      </c>
      <c r="U36" s="167">
        <v>0.25</v>
      </c>
      <c r="V36" s="168">
        <v>0</v>
      </c>
      <c r="W36" s="169">
        <f>(0-0)/2</f>
        <v>0</v>
      </c>
      <c r="X36" s="169">
        <f>2/2</f>
        <v>1</v>
      </c>
      <c r="Y36" s="168">
        <v>0</v>
      </c>
      <c r="Z36" s="167">
        <v>0</v>
      </c>
    </row>
    <row r="37" spans="1:26" x14ac:dyDescent="0.25">
      <c r="A37" s="3" t="s">
        <v>200</v>
      </c>
      <c r="B37" s="143" t="s">
        <v>351</v>
      </c>
      <c r="C37" s="144">
        <v>219</v>
      </c>
      <c r="D37" s="144">
        <v>106</v>
      </c>
      <c r="E37" s="130">
        <v>124.6</v>
      </c>
      <c r="F37" s="132">
        <v>51.8</v>
      </c>
      <c r="G37" s="132">
        <v>48.4</v>
      </c>
      <c r="H37" s="49">
        <v>3.4676516400000001</v>
      </c>
      <c r="I37" s="164">
        <v>3.6489955582329316</v>
      </c>
      <c r="J37" s="164">
        <v>3.6472099999999994</v>
      </c>
      <c r="K37" s="142">
        <v>147.84191829484902</v>
      </c>
      <c r="L37" s="165">
        <v>150.25882352941176</v>
      </c>
      <c r="M37" s="165">
        <v>150.03252032520325</v>
      </c>
      <c r="N37" s="142">
        <v>150.47602131438722</v>
      </c>
      <c r="O37" s="165">
        <v>153.07843137254903</v>
      </c>
      <c r="P37" s="166">
        <v>152.91</v>
      </c>
      <c r="Q37" s="146">
        <v>0.1958266452648475</v>
      </c>
      <c r="R37" s="146">
        <v>0.15444015444015444</v>
      </c>
      <c r="S37" s="146">
        <v>0.15702479338842976</v>
      </c>
      <c r="T37" s="167">
        <v>0.94379999999999997</v>
      </c>
      <c r="U37" s="167">
        <v>1.2E-2</v>
      </c>
      <c r="V37" s="168">
        <v>23</v>
      </c>
      <c r="W37" s="169">
        <f>(0-0)/15</f>
        <v>0</v>
      </c>
      <c r="X37" s="169">
        <f>15/15</f>
        <v>1</v>
      </c>
      <c r="Y37" s="168">
        <v>0</v>
      </c>
      <c r="Z37" s="167">
        <f>Y37/'Master''s (2 yr)'!E37</f>
        <v>0</v>
      </c>
    </row>
    <row r="38" spans="1:26" x14ac:dyDescent="0.25">
      <c r="A38" s="3" t="s">
        <v>88</v>
      </c>
      <c r="B38" s="143" t="s">
        <v>144</v>
      </c>
      <c r="C38" s="144">
        <v>222</v>
      </c>
      <c r="D38" s="144">
        <v>108</v>
      </c>
      <c r="E38" s="130">
        <v>7.8</v>
      </c>
      <c r="F38" s="132">
        <v>2.2000000000000002</v>
      </c>
      <c r="G38" s="132">
        <v>1.4</v>
      </c>
      <c r="H38" s="71">
        <v>3.4884613846153845</v>
      </c>
      <c r="I38" s="164">
        <v>3.4857142857142853</v>
      </c>
      <c r="J38" s="164">
        <v>3.5750000000000002</v>
      </c>
      <c r="K38" s="142">
        <v>151.34285714285716</v>
      </c>
      <c r="L38" s="165">
        <v>153.81818181818181</v>
      </c>
      <c r="M38" s="165">
        <v>153.42857142857142</v>
      </c>
      <c r="N38" s="142">
        <v>156.11428571428573</v>
      </c>
      <c r="O38" s="165">
        <v>157.45454545454547</v>
      </c>
      <c r="P38" s="166">
        <v>157.28571428571428</v>
      </c>
      <c r="Q38" s="146">
        <v>0.1026</v>
      </c>
      <c r="R38" s="146">
        <v>9.0899999999999995E-2</v>
      </c>
      <c r="S38" s="146">
        <v>0.1429</v>
      </c>
      <c r="T38" s="167">
        <v>0</v>
      </c>
      <c r="U38" s="167">
        <v>0</v>
      </c>
      <c r="V38" s="168">
        <v>0</v>
      </c>
      <c r="W38" s="169">
        <v>0</v>
      </c>
      <c r="X38" s="169">
        <v>0</v>
      </c>
      <c r="Y38" s="168">
        <v>0</v>
      </c>
      <c r="Z38" s="167">
        <v>0</v>
      </c>
    </row>
    <row r="39" spans="1:26" x14ac:dyDescent="0.25">
      <c r="A39" s="3" t="s">
        <v>267</v>
      </c>
      <c r="B39" s="143" t="s">
        <v>335</v>
      </c>
      <c r="C39" s="144">
        <v>222</v>
      </c>
      <c r="D39" s="144">
        <v>110</v>
      </c>
      <c r="E39" s="130">
        <v>6.4</v>
      </c>
      <c r="F39" s="132">
        <v>0</v>
      </c>
      <c r="G39" s="132">
        <v>0</v>
      </c>
      <c r="H39" s="49">
        <v>3.1444444444444444</v>
      </c>
      <c r="I39" s="164"/>
      <c r="J39" s="164"/>
      <c r="K39" s="165">
        <v>159.38</v>
      </c>
      <c r="L39" s="168"/>
      <c r="M39" s="168">
        <v>162</v>
      </c>
      <c r="N39" s="142">
        <v>149.28571428571428</v>
      </c>
      <c r="O39" s="165"/>
      <c r="P39" s="165">
        <v>153</v>
      </c>
      <c r="Q39" s="146">
        <v>3.1300000000000001E-2</v>
      </c>
      <c r="R39" s="146">
        <v>0</v>
      </c>
      <c r="S39" s="146">
        <v>0</v>
      </c>
      <c r="T39" s="167">
        <v>1</v>
      </c>
      <c r="U39" s="167">
        <v>0</v>
      </c>
      <c r="V39" s="168">
        <v>0</v>
      </c>
      <c r="W39" s="169">
        <v>0</v>
      </c>
      <c r="X39" s="169">
        <v>0</v>
      </c>
      <c r="Y39" s="168">
        <v>0</v>
      </c>
      <c r="Z39" s="167">
        <f>Y39/'Master''s (2 yr)'!E39</f>
        <v>0</v>
      </c>
    </row>
    <row r="40" spans="1:26" x14ac:dyDescent="0.25">
      <c r="A40" s="3" t="s">
        <v>102</v>
      </c>
      <c r="B40" s="143" t="s">
        <v>144</v>
      </c>
      <c r="C40" s="144">
        <v>222</v>
      </c>
      <c r="D40" s="144">
        <v>142</v>
      </c>
      <c r="E40" s="130">
        <v>53.8</v>
      </c>
      <c r="F40" s="132">
        <v>9.1999999999999993</v>
      </c>
      <c r="G40" s="132">
        <v>3</v>
      </c>
      <c r="H40" s="49">
        <v>3.4073442259887012</v>
      </c>
      <c r="I40" s="164">
        <v>3.6378373783783786</v>
      </c>
      <c r="J40" s="164">
        <v>3.5727272727272723</v>
      </c>
      <c r="K40" s="142">
        <v>150.04166666666666</v>
      </c>
      <c r="L40" s="165">
        <v>151.82608695652175</v>
      </c>
      <c r="M40" s="165">
        <v>151.4375</v>
      </c>
      <c r="N40" s="142">
        <v>153.90740740740742</v>
      </c>
      <c r="O40" s="165">
        <v>158.63043478260869</v>
      </c>
      <c r="P40" s="166">
        <v>156.8125</v>
      </c>
      <c r="Q40" s="146">
        <v>0.14499999999999999</v>
      </c>
      <c r="R40" s="146">
        <v>0.13039999999999999</v>
      </c>
      <c r="S40" s="146">
        <v>0.1333</v>
      </c>
      <c r="T40" s="167">
        <v>0</v>
      </c>
      <c r="U40" s="167">
        <v>0</v>
      </c>
      <c r="V40" s="168">
        <v>0</v>
      </c>
      <c r="W40" s="169">
        <v>0</v>
      </c>
      <c r="X40" s="169">
        <v>0</v>
      </c>
      <c r="Y40" s="168">
        <v>0</v>
      </c>
      <c r="Z40" s="167">
        <v>0</v>
      </c>
    </row>
    <row r="41" spans="1:26" x14ac:dyDescent="0.25">
      <c r="A41" s="3" t="s">
        <v>235</v>
      </c>
      <c r="B41" s="143" t="s">
        <v>236</v>
      </c>
      <c r="C41" s="144">
        <v>219</v>
      </c>
      <c r="D41" s="144">
        <v>116</v>
      </c>
      <c r="E41" s="130">
        <v>301.2</v>
      </c>
      <c r="F41" s="132">
        <v>128.80000000000001</v>
      </c>
      <c r="G41" s="132">
        <v>75.8</v>
      </c>
      <c r="H41" s="71">
        <v>3.2822037492416585</v>
      </c>
      <c r="I41" s="164">
        <v>3.4055198386411889</v>
      </c>
      <c r="J41" s="164">
        <v>3.401269463492063</v>
      </c>
      <c r="K41" s="142">
        <v>150.57734573119188</v>
      </c>
      <c r="L41" s="165">
        <v>151.88695652173914</v>
      </c>
      <c r="M41" s="165">
        <v>150.65517241379311</v>
      </c>
      <c r="N41" s="142">
        <v>151.01098901098902</v>
      </c>
      <c r="O41" s="165">
        <v>153.06434782608696</v>
      </c>
      <c r="P41" s="166">
        <v>152.37643678160919</v>
      </c>
      <c r="Q41" s="146">
        <v>0.2437</v>
      </c>
      <c r="R41" s="146">
        <v>0.222</v>
      </c>
      <c r="S41" s="146">
        <v>0.26649999999999996</v>
      </c>
      <c r="T41" s="167">
        <v>0.90559999999999996</v>
      </c>
      <c r="U41" s="167">
        <v>5.74E-2</v>
      </c>
      <c r="V41" s="168">
        <v>39</v>
      </c>
      <c r="W41" s="169">
        <f>(5-0)/61</f>
        <v>8.1967213114754092E-2</v>
      </c>
      <c r="X41" s="169">
        <f>56/61</f>
        <v>0.91803278688524592</v>
      </c>
      <c r="Y41" s="168">
        <v>6</v>
      </c>
      <c r="Z41" s="167">
        <f>Y41/'Master''s (2 yr)'!E41</f>
        <v>3.2967032967032968E-2</v>
      </c>
    </row>
    <row r="42" spans="1:26" x14ac:dyDescent="0.25">
      <c r="A42" s="3" t="s">
        <v>132</v>
      </c>
      <c r="B42" s="143" t="s">
        <v>156</v>
      </c>
      <c r="C42" s="144">
        <v>215</v>
      </c>
      <c r="D42" s="144">
        <v>117</v>
      </c>
      <c r="E42" s="130">
        <v>12.4</v>
      </c>
      <c r="F42" s="132">
        <v>7.6</v>
      </c>
      <c r="G42" s="132">
        <v>5.6</v>
      </c>
      <c r="H42" s="71">
        <v>3.5074072222222221</v>
      </c>
      <c r="I42" s="164">
        <v>3.5342856285714279</v>
      </c>
      <c r="J42" s="164">
        <v>3.4888887777777771</v>
      </c>
      <c r="K42" s="142">
        <v>144.9375</v>
      </c>
      <c r="L42" s="165">
        <v>145.52777777777777</v>
      </c>
      <c r="M42" s="165">
        <v>144.7037037037037</v>
      </c>
      <c r="N42" s="142">
        <v>151.29166666666666</v>
      </c>
      <c r="O42" s="165">
        <v>152.94444444444446</v>
      </c>
      <c r="P42" s="166">
        <v>152</v>
      </c>
      <c r="Q42" s="146">
        <v>0.371</v>
      </c>
      <c r="R42" s="146">
        <v>0.31579999999999997</v>
      </c>
      <c r="S42" s="146">
        <v>0.32140000000000002</v>
      </c>
      <c r="T42" s="167">
        <v>0.875</v>
      </c>
      <c r="U42" s="167">
        <v>0</v>
      </c>
      <c r="V42" s="168">
        <v>3</v>
      </c>
      <c r="W42" s="169">
        <v>0</v>
      </c>
      <c r="X42" s="169">
        <v>0</v>
      </c>
      <c r="Y42" s="168">
        <v>0</v>
      </c>
      <c r="Z42" s="167">
        <f>Y42/'Master''s (2 yr)'!E42</f>
        <v>0</v>
      </c>
    </row>
    <row r="43" spans="1:26" x14ac:dyDescent="0.25">
      <c r="A43" s="3" t="s">
        <v>204</v>
      </c>
      <c r="B43" s="143" t="s">
        <v>201</v>
      </c>
      <c r="C43" s="144">
        <v>219</v>
      </c>
      <c r="D43" s="144">
        <v>119</v>
      </c>
      <c r="E43" s="130">
        <v>5.2</v>
      </c>
      <c r="F43" s="132">
        <v>3</v>
      </c>
      <c r="G43" s="132">
        <v>2.4</v>
      </c>
      <c r="H43" s="71">
        <v>3.50399992</v>
      </c>
      <c r="I43" s="164">
        <v>3.6399998666666664</v>
      </c>
      <c r="J43" s="164">
        <v>3.6500000000000004</v>
      </c>
      <c r="K43" s="142">
        <v>148.5</v>
      </c>
      <c r="L43" s="165">
        <v>149.13333333333333</v>
      </c>
      <c r="M43" s="165">
        <v>148.91666666666666</v>
      </c>
      <c r="N43" s="142">
        <v>151.04545454545453</v>
      </c>
      <c r="O43" s="165">
        <v>150</v>
      </c>
      <c r="P43" s="166">
        <v>149.66666666666666</v>
      </c>
      <c r="Q43" s="146">
        <v>0.26923076923076922</v>
      </c>
      <c r="R43" s="146">
        <v>0.26666666666666666</v>
      </c>
      <c r="S43" s="146">
        <v>0.25</v>
      </c>
      <c r="T43" s="167">
        <v>0</v>
      </c>
      <c r="U43" s="167">
        <v>0</v>
      </c>
      <c r="V43" s="168">
        <v>0</v>
      </c>
      <c r="W43" s="169">
        <f>(2-0)/8</f>
        <v>0.25</v>
      </c>
      <c r="X43" s="169">
        <f>6/8</f>
        <v>0.75</v>
      </c>
      <c r="Y43" s="168">
        <v>0</v>
      </c>
      <c r="Z43" s="167">
        <v>0</v>
      </c>
    </row>
    <row r="44" spans="1:26" x14ac:dyDescent="0.25">
      <c r="A44" s="3" t="s">
        <v>18</v>
      </c>
      <c r="B44" s="143" t="s">
        <v>156</v>
      </c>
      <c r="C44" s="144">
        <v>215</v>
      </c>
      <c r="D44" s="144">
        <v>122</v>
      </c>
      <c r="E44" s="130">
        <v>9.4</v>
      </c>
      <c r="F44" s="132">
        <v>6.2</v>
      </c>
      <c r="G44" s="132">
        <v>2.8</v>
      </c>
      <c r="H44" s="49">
        <v>3.2692307692307696</v>
      </c>
      <c r="I44" s="164">
        <v>3.1999999999999997</v>
      </c>
      <c r="J44" s="164">
        <v>3.2800000000000002</v>
      </c>
      <c r="K44" s="142">
        <v>157.42857142857142</v>
      </c>
      <c r="L44" s="165">
        <v>158.16129032258064</v>
      </c>
      <c r="M44" s="165">
        <v>158.28571428571428</v>
      </c>
      <c r="N44" s="142">
        <v>145.92857142857142</v>
      </c>
      <c r="O44" s="165">
        <v>145.90322580645162</v>
      </c>
      <c r="P44" s="166">
        <v>148.21428571428572</v>
      </c>
      <c r="Q44" s="146">
        <v>0.12770000000000001</v>
      </c>
      <c r="R44" s="146">
        <v>0.129</v>
      </c>
      <c r="S44" s="146">
        <v>0.1429</v>
      </c>
      <c r="T44" s="167">
        <v>0.33329999999999999</v>
      </c>
      <c r="U44" s="167">
        <v>0</v>
      </c>
      <c r="V44" s="168">
        <v>1</v>
      </c>
      <c r="W44" s="169">
        <v>0</v>
      </c>
      <c r="X44" s="169">
        <v>0</v>
      </c>
      <c r="Y44" s="168">
        <v>1</v>
      </c>
      <c r="Z44" s="167">
        <f>Y44/'Master''s (2 yr)'!E44</f>
        <v>0.5</v>
      </c>
    </row>
    <row r="45" spans="1:26" x14ac:dyDescent="0.25">
      <c r="A45" s="3" t="s">
        <v>20</v>
      </c>
      <c r="B45" s="143" t="s">
        <v>156</v>
      </c>
      <c r="C45" s="144">
        <v>215</v>
      </c>
      <c r="D45" s="144">
        <v>124</v>
      </c>
      <c r="E45" s="130">
        <v>25.2</v>
      </c>
      <c r="F45" s="132">
        <v>11</v>
      </c>
      <c r="G45" s="132">
        <v>5.8</v>
      </c>
      <c r="H45" s="49">
        <v>3.4812495937499999</v>
      </c>
      <c r="I45" s="164">
        <v>3.6062496666666668</v>
      </c>
      <c r="J45" s="164">
        <v>3.5208329583333331</v>
      </c>
      <c r="K45" s="142">
        <v>150.12962962962962</v>
      </c>
      <c r="L45" s="165">
        <v>150.46296296296296</v>
      </c>
      <c r="M45" s="165">
        <v>149.63333333333333</v>
      </c>
      <c r="N45" s="142">
        <v>151.46296296296296</v>
      </c>
      <c r="O45" s="165">
        <v>152.92592592592592</v>
      </c>
      <c r="P45" s="166">
        <v>151.63333333333333</v>
      </c>
      <c r="Q45" s="146">
        <v>0.16670000000000001</v>
      </c>
      <c r="R45" s="146">
        <v>0.14550000000000002</v>
      </c>
      <c r="S45" s="146">
        <v>0.13789999999999999</v>
      </c>
      <c r="T45" s="167">
        <v>0.84509999999999996</v>
      </c>
      <c r="U45" s="167">
        <v>4.2299999999999997E-2</v>
      </c>
      <c r="V45" s="168">
        <v>5</v>
      </c>
      <c r="W45" s="169">
        <f>(0-0)/1</f>
        <v>0</v>
      </c>
      <c r="X45" s="169">
        <f>1/1</f>
        <v>1</v>
      </c>
      <c r="Y45" s="168">
        <v>6</v>
      </c>
      <c r="Z45" s="167">
        <f>Y45/'Master''s (2 yr)'!E45</f>
        <v>0.2857142857142857</v>
      </c>
    </row>
    <row r="46" spans="1:26" x14ac:dyDescent="0.25">
      <c r="A46" s="3" t="s">
        <v>22</v>
      </c>
      <c r="B46" s="143" t="s">
        <v>156</v>
      </c>
      <c r="C46" s="144">
        <v>215</v>
      </c>
      <c r="D46" s="144">
        <v>125</v>
      </c>
      <c r="E46" s="130">
        <v>2.4</v>
      </c>
      <c r="F46" s="132">
        <v>0.2</v>
      </c>
      <c r="G46" s="132">
        <v>0.2</v>
      </c>
      <c r="H46" s="49">
        <v>3.45</v>
      </c>
      <c r="I46" s="164">
        <v>3.1</v>
      </c>
      <c r="J46" s="164">
        <v>3.1</v>
      </c>
      <c r="K46" s="142">
        <v>148.77777777777777</v>
      </c>
      <c r="L46" s="165">
        <v>148</v>
      </c>
      <c r="M46" s="165">
        <v>148</v>
      </c>
      <c r="N46" s="142">
        <v>152.88888888888889</v>
      </c>
      <c r="O46" s="165">
        <v>163</v>
      </c>
      <c r="P46" s="166">
        <v>163</v>
      </c>
      <c r="Q46" s="146">
        <v>0.16670000000000001</v>
      </c>
      <c r="R46" s="146">
        <v>1</v>
      </c>
      <c r="S46" s="146">
        <v>1</v>
      </c>
      <c r="T46" s="167">
        <v>0.91669999999999996</v>
      </c>
      <c r="U46" s="167">
        <v>8.3299999999999999E-2</v>
      </c>
      <c r="V46" s="168">
        <v>2</v>
      </c>
      <c r="W46" s="169">
        <f>(1-0)/3</f>
        <v>0.33333333333333331</v>
      </c>
      <c r="X46" s="169">
        <f>2/3</f>
        <v>0.66666666666666663</v>
      </c>
      <c r="Y46" s="168">
        <v>0</v>
      </c>
      <c r="Z46" s="167">
        <f>Y46/'Master''s (2 yr)'!E46</f>
        <v>0</v>
      </c>
    </row>
    <row r="47" spans="1:26" x14ac:dyDescent="0.25">
      <c r="A47" s="3" t="s">
        <v>134</v>
      </c>
      <c r="B47" s="143" t="s">
        <v>156</v>
      </c>
      <c r="C47" s="144">
        <v>215</v>
      </c>
      <c r="D47" s="144">
        <v>126</v>
      </c>
      <c r="E47" s="130">
        <v>22.4</v>
      </c>
      <c r="F47" s="132">
        <v>17</v>
      </c>
      <c r="G47" s="132">
        <v>13</v>
      </c>
      <c r="H47" s="49">
        <v>3.3691487234042552</v>
      </c>
      <c r="I47" s="164">
        <v>3.4272724025974033</v>
      </c>
      <c r="J47" s="164">
        <v>3.38448275862069</v>
      </c>
      <c r="K47" s="142">
        <v>150.99029126213591</v>
      </c>
      <c r="L47" s="165">
        <v>150.60714285714286</v>
      </c>
      <c r="M47" s="165">
        <v>150.13636363636363</v>
      </c>
      <c r="N47" s="142">
        <v>151.76699029126215</v>
      </c>
      <c r="O47" s="165">
        <v>152.57142857142858</v>
      </c>
      <c r="P47" s="166">
        <v>152.45454545454547</v>
      </c>
      <c r="Q47" s="146">
        <v>0.11609999999999999</v>
      </c>
      <c r="R47" s="146">
        <v>0.10589999999999999</v>
      </c>
      <c r="S47" s="146">
        <v>0.10769999999999999</v>
      </c>
      <c r="T47" s="167">
        <v>0.55559999999999998</v>
      </c>
      <c r="U47" s="167">
        <v>0</v>
      </c>
      <c r="V47" s="168">
        <v>1</v>
      </c>
      <c r="W47" s="169">
        <f>(0-0)/4</f>
        <v>0</v>
      </c>
      <c r="X47" s="169">
        <f>4/4</f>
        <v>1</v>
      </c>
      <c r="Y47" s="168">
        <v>0</v>
      </c>
      <c r="Z47" s="167">
        <f>Y47/'Master''s (2 yr)'!E47</f>
        <v>0</v>
      </c>
    </row>
    <row r="48" spans="1:26" x14ac:dyDescent="0.25">
      <c r="A48" s="3" t="s">
        <v>136</v>
      </c>
      <c r="B48" s="143" t="s">
        <v>156</v>
      </c>
      <c r="C48" s="144">
        <v>215</v>
      </c>
      <c r="D48" s="144">
        <v>127</v>
      </c>
      <c r="E48" s="130">
        <v>26.6</v>
      </c>
      <c r="F48" s="132">
        <v>24</v>
      </c>
      <c r="G48" s="132">
        <v>19.2</v>
      </c>
      <c r="H48" s="49">
        <v>3.4538456846153847</v>
      </c>
      <c r="I48" s="164">
        <v>3.475833025</v>
      </c>
      <c r="J48" s="164">
        <v>3.4583330520833329</v>
      </c>
      <c r="K48" s="142">
        <v>148.51968503937007</v>
      </c>
      <c r="L48" s="165">
        <v>148.66666666666666</v>
      </c>
      <c r="M48" s="165">
        <v>148.28125</v>
      </c>
      <c r="N48" s="142">
        <v>153.70866141732284</v>
      </c>
      <c r="O48" s="165">
        <v>153.69166666666666</v>
      </c>
      <c r="P48" s="166">
        <v>153.59375</v>
      </c>
      <c r="Q48" s="146">
        <v>9.7699999999999995E-2</v>
      </c>
      <c r="R48" s="146">
        <v>0.1</v>
      </c>
      <c r="S48" s="146">
        <v>8.3299999999999999E-2</v>
      </c>
      <c r="T48" s="167">
        <v>0.53659999999999997</v>
      </c>
      <c r="U48" s="167">
        <v>0</v>
      </c>
      <c r="V48" s="168">
        <v>1</v>
      </c>
      <c r="W48" s="169">
        <f>(0-0)/6</f>
        <v>0</v>
      </c>
      <c r="X48" s="169">
        <f>6/6</f>
        <v>1</v>
      </c>
      <c r="Y48" s="168">
        <v>0</v>
      </c>
      <c r="Z48" s="167">
        <f>Y48/'Master''s (2 yr)'!E48</f>
        <v>0</v>
      </c>
    </row>
    <row r="49" spans="1:26" x14ac:dyDescent="0.25">
      <c r="A49" s="3" t="s">
        <v>98</v>
      </c>
      <c r="B49" s="143" t="s">
        <v>144</v>
      </c>
      <c r="C49" s="144">
        <v>222</v>
      </c>
      <c r="D49" s="144">
        <v>130</v>
      </c>
      <c r="E49" s="130">
        <v>29.6</v>
      </c>
      <c r="F49" s="132">
        <v>8.4</v>
      </c>
      <c r="G49" s="132">
        <v>6.6</v>
      </c>
      <c r="H49" s="49">
        <v>3.5229351651376151</v>
      </c>
      <c r="I49" s="164">
        <v>3.6032257096774201</v>
      </c>
      <c r="J49" s="164">
        <v>3.5519997200000004</v>
      </c>
      <c r="K49" s="142">
        <v>146.85714285714286</v>
      </c>
      <c r="L49" s="165">
        <v>147.44736842105263</v>
      </c>
      <c r="M49" s="165">
        <v>147.13333333333333</v>
      </c>
      <c r="N49" s="142">
        <v>152.26890756302521</v>
      </c>
      <c r="O49" s="165">
        <v>152.94736842105263</v>
      </c>
      <c r="P49" s="166">
        <v>153.30000000000001</v>
      </c>
      <c r="Q49" s="146">
        <v>0.30409999999999998</v>
      </c>
      <c r="R49" s="146">
        <v>0.3095</v>
      </c>
      <c r="S49" s="146">
        <v>0.33329999999999999</v>
      </c>
      <c r="T49" s="167">
        <v>0</v>
      </c>
      <c r="U49" s="167">
        <v>0</v>
      </c>
      <c r="V49" s="168">
        <v>0</v>
      </c>
      <c r="W49" s="169">
        <v>0</v>
      </c>
      <c r="X49" s="169">
        <v>0</v>
      </c>
      <c r="Y49" s="168">
        <v>0</v>
      </c>
      <c r="Z49" s="167">
        <v>0</v>
      </c>
    </row>
    <row r="50" spans="1:26" x14ac:dyDescent="0.25">
      <c r="A50" s="3" t="s">
        <v>24</v>
      </c>
      <c r="B50" s="143" t="s">
        <v>156</v>
      </c>
      <c r="C50" s="144">
        <v>215</v>
      </c>
      <c r="D50" s="144">
        <v>131</v>
      </c>
      <c r="E50" s="130">
        <v>64.599999999999994</v>
      </c>
      <c r="F50" s="132">
        <v>50.6</v>
      </c>
      <c r="G50" s="132">
        <v>45.8</v>
      </c>
      <c r="H50" s="49">
        <v>3.5608537117437717</v>
      </c>
      <c r="I50" s="164">
        <v>3.5820830583333327</v>
      </c>
      <c r="J50" s="164">
        <v>3.5874436591928247</v>
      </c>
      <c r="K50" s="142">
        <v>147.16428571428571</v>
      </c>
      <c r="L50" s="165">
        <v>147.18367346938774</v>
      </c>
      <c r="M50" s="165">
        <v>147.00444444444443</v>
      </c>
      <c r="N50" s="142">
        <v>150.05000000000001</v>
      </c>
      <c r="O50" s="165">
        <v>150.56326530612245</v>
      </c>
      <c r="P50" s="166">
        <v>150.30222222222221</v>
      </c>
      <c r="Q50" s="146">
        <v>0.15479999999999999</v>
      </c>
      <c r="R50" s="146">
        <v>0.13830000000000001</v>
      </c>
      <c r="S50" s="146">
        <v>0.14849999999999999</v>
      </c>
      <c r="T50" s="167">
        <v>0.93389999999999995</v>
      </c>
      <c r="U50" s="167">
        <v>1.6500000000000001E-2</v>
      </c>
      <c r="V50" s="168">
        <v>8</v>
      </c>
      <c r="W50" s="169">
        <f>(2-0)/31</f>
        <v>6.4516129032258063E-2</v>
      </c>
      <c r="X50" s="169">
        <f>29/31</f>
        <v>0.93548387096774188</v>
      </c>
      <c r="Y50" s="168">
        <v>0</v>
      </c>
      <c r="Z50" s="167">
        <f>Y50/'Master''s (2 yr)'!E50</f>
        <v>0</v>
      </c>
    </row>
    <row r="51" spans="1:26" x14ac:dyDescent="0.25">
      <c r="A51" s="3" t="s">
        <v>331</v>
      </c>
      <c r="B51" s="143" t="s">
        <v>336</v>
      </c>
      <c r="C51" s="144">
        <v>222</v>
      </c>
      <c r="D51" s="144">
        <v>132</v>
      </c>
      <c r="E51" s="130">
        <v>120.2</v>
      </c>
      <c r="F51" s="132">
        <v>0</v>
      </c>
      <c r="G51" s="132">
        <v>0</v>
      </c>
      <c r="H51" s="49">
        <v>3.4858969358974363</v>
      </c>
      <c r="I51" s="164"/>
      <c r="J51" s="164"/>
      <c r="K51" s="165">
        <v>163.6</v>
      </c>
      <c r="L51" s="165"/>
      <c r="M51" s="165">
        <v>165</v>
      </c>
      <c r="N51" s="142">
        <v>152.90095238095239</v>
      </c>
      <c r="O51" s="174"/>
      <c r="P51" s="166">
        <v>157</v>
      </c>
      <c r="Q51" s="146">
        <v>1.1599999999999999E-2</v>
      </c>
      <c r="R51" s="146">
        <v>0</v>
      </c>
      <c r="S51" s="146">
        <v>0</v>
      </c>
      <c r="T51" s="167">
        <v>0.41249999999999998</v>
      </c>
      <c r="U51" s="167">
        <v>0.8125</v>
      </c>
      <c r="V51" s="168">
        <v>1</v>
      </c>
      <c r="W51" s="169">
        <f>(0-0)/2</f>
        <v>0</v>
      </c>
      <c r="X51" s="169">
        <f>2/2</f>
        <v>1</v>
      </c>
      <c r="Y51" s="168">
        <v>4</v>
      </c>
      <c r="Z51" s="167">
        <f>Y51/'Master''s (2 yr)'!E51</f>
        <v>0.14814814814814814</v>
      </c>
    </row>
    <row r="52" spans="1:26" x14ac:dyDescent="0.25">
      <c r="A52" s="3" t="s">
        <v>138</v>
      </c>
      <c r="B52" s="143" t="s">
        <v>156</v>
      </c>
      <c r="C52" s="144">
        <v>215</v>
      </c>
      <c r="D52" s="144">
        <v>133</v>
      </c>
      <c r="E52" s="130">
        <v>57.6</v>
      </c>
      <c r="F52" s="132">
        <v>27.2</v>
      </c>
      <c r="G52" s="132">
        <v>16</v>
      </c>
      <c r="H52" s="49">
        <v>3.3437034185185182</v>
      </c>
      <c r="I52" s="164">
        <v>3.4151509090909093</v>
      </c>
      <c r="J52" s="164">
        <v>3.3636360389610389</v>
      </c>
      <c r="K52" s="142">
        <v>147.52808988764045</v>
      </c>
      <c r="L52" s="165">
        <v>148.36764705882354</v>
      </c>
      <c r="M52" s="165">
        <v>148.12790697674419</v>
      </c>
      <c r="N52" s="142">
        <v>151.19850187265916</v>
      </c>
      <c r="O52" s="165">
        <v>152.48529411764707</v>
      </c>
      <c r="P52" s="166">
        <v>151.72093023255815</v>
      </c>
      <c r="Q52" s="146">
        <v>0.29859999999999998</v>
      </c>
      <c r="R52" s="146">
        <v>0.22789999999999999</v>
      </c>
      <c r="S52" s="146">
        <v>0.22500000000000001</v>
      </c>
      <c r="T52" s="167">
        <v>0.80910000000000004</v>
      </c>
      <c r="U52" s="167">
        <v>9.1000000000000004E-3</v>
      </c>
      <c r="V52" s="168">
        <v>11</v>
      </c>
      <c r="W52" s="169">
        <f>(2-0)/8</f>
        <v>0.25</v>
      </c>
      <c r="X52" s="169">
        <f>6/8</f>
        <v>0.75</v>
      </c>
      <c r="Y52" s="168">
        <v>21</v>
      </c>
      <c r="Z52" s="167">
        <f>Y52/'Master''s (2 yr)'!E52</f>
        <v>0.5</v>
      </c>
    </row>
    <row r="53" spans="1:26" x14ac:dyDescent="0.25">
      <c r="A53" s="3" t="s">
        <v>365</v>
      </c>
      <c r="B53" s="143" t="s">
        <v>366</v>
      </c>
      <c r="C53" s="144">
        <v>222</v>
      </c>
      <c r="D53" s="144">
        <v>545</v>
      </c>
      <c r="E53" s="130">
        <v>0</v>
      </c>
      <c r="F53" s="132">
        <v>0</v>
      </c>
      <c r="G53" s="132">
        <v>0</v>
      </c>
      <c r="H53" s="49">
        <v>0</v>
      </c>
      <c r="I53" s="166"/>
      <c r="J53" s="166"/>
      <c r="K53" s="165"/>
      <c r="L53" s="165"/>
      <c r="M53" s="165"/>
      <c r="N53" s="168"/>
      <c r="O53" s="168"/>
      <c r="P53" s="168"/>
      <c r="Q53" s="146"/>
      <c r="R53" s="146"/>
      <c r="S53" s="146"/>
      <c r="T53" s="167">
        <v>0.54410000000000003</v>
      </c>
      <c r="U53" s="167">
        <v>0.2059</v>
      </c>
      <c r="V53" s="168">
        <v>2</v>
      </c>
      <c r="W53" s="169">
        <v>0</v>
      </c>
      <c r="X53" s="169">
        <v>0</v>
      </c>
      <c r="Y53" s="168">
        <v>12</v>
      </c>
      <c r="Z53" s="167">
        <f>Y53/'Master''s (2 yr)'!E53</f>
        <v>0.52173913043478259</v>
      </c>
    </row>
    <row r="54" spans="1:26" x14ac:dyDescent="0.25">
      <c r="A54" s="3" t="s">
        <v>186</v>
      </c>
      <c r="B54" s="143" t="s">
        <v>183</v>
      </c>
      <c r="C54" s="144">
        <v>217</v>
      </c>
      <c r="D54" s="144">
        <v>135</v>
      </c>
      <c r="E54" s="130">
        <v>21.2</v>
      </c>
      <c r="F54" s="132">
        <v>14</v>
      </c>
      <c r="G54" s="132">
        <v>13.8</v>
      </c>
      <c r="H54" s="49">
        <v>3.3879116153846156</v>
      </c>
      <c r="I54" s="164">
        <v>3.3865668805970151</v>
      </c>
      <c r="J54" s="164">
        <v>3.3833330454545454</v>
      </c>
      <c r="K54" s="142">
        <v>149.80000000000001</v>
      </c>
      <c r="L54" s="168"/>
      <c r="M54" s="168"/>
      <c r="N54" s="142">
        <v>140.19999999999999</v>
      </c>
      <c r="O54" s="168"/>
      <c r="P54" s="168"/>
      <c r="Q54" s="146">
        <v>0.23584905660377359</v>
      </c>
      <c r="R54" s="146">
        <v>0.25714285714285712</v>
      </c>
      <c r="S54" s="146">
        <v>0.2608695652173913</v>
      </c>
      <c r="T54" s="167">
        <v>0.48570000000000002</v>
      </c>
      <c r="U54" s="167">
        <v>9.4999999999999998E-3</v>
      </c>
      <c r="V54" s="168">
        <v>7</v>
      </c>
      <c r="W54" s="169">
        <f>(2-0)/10</f>
        <v>0.2</v>
      </c>
      <c r="X54" s="169">
        <f>8/10</f>
        <v>0.8</v>
      </c>
      <c r="Y54" s="168">
        <v>27</v>
      </c>
      <c r="Z54" s="167">
        <f>Y54/'Master''s (2 yr)'!E54</f>
        <v>0.9642857142857143</v>
      </c>
    </row>
    <row r="55" spans="1:26" x14ac:dyDescent="0.25">
      <c r="A55" s="3" t="s">
        <v>146</v>
      </c>
      <c r="B55" s="143" t="s">
        <v>147</v>
      </c>
      <c r="C55" s="144">
        <v>214</v>
      </c>
      <c r="D55" s="144">
        <v>136</v>
      </c>
      <c r="E55" s="131">
        <v>108</v>
      </c>
      <c r="F55" s="133">
        <v>70</v>
      </c>
      <c r="G55" s="133">
        <v>29.8</v>
      </c>
      <c r="H55" s="109">
        <v>3.3481200488721807</v>
      </c>
      <c r="I55" s="175">
        <v>3.3980292955665021</v>
      </c>
      <c r="J55" s="175">
        <v>3.3822032372881359</v>
      </c>
      <c r="K55" s="142">
        <v>154.49695740365112</v>
      </c>
      <c r="L55" s="174">
        <v>154.27906976744185</v>
      </c>
      <c r="M55" s="174">
        <v>150.83561643835617</v>
      </c>
      <c r="N55" s="142">
        <v>152.23529411764707</v>
      </c>
      <c r="O55" s="165">
        <v>154.16279069767441</v>
      </c>
      <c r="P55" s="166">
        <v>153.89726027397259</v>
      </c>
      <c r="Q55" s="146">
        <v>0.13518518518518519</v>
      </c>
      <c r="R55" s="146">
        <v>0.13714285714285715</v>
      </c>
      <c r="S55" s="146">
        <v>0.20805369127516779</v>
      </c>
      <c r="T55" s="167">
        <v>0.5333</v>
      </c>
      <c r="U55" s="167">
        <v>0.16</v>
      </c>
      <c r="V55" s="168">
        <v>22</v>
      </c>
      <c r="W55" s="169">
        <f>(4-0)/20</f>
        <v>0.2</v>
      </c>
      <c r="X55" s="169">
        <f>16/20</f>
        <v>0.8</v>
      </c>
      <c r="Y55" s="168">
        <v>9</v>
      </c>
      <c r="Z55" s="167">
        <f>Y55/'Master''s (2 yr)'!E55</f>
        <v>0.10227272727272728</v>
      </c>
    </row>
    <row r="56" spans="1:26" x14ac:dyDescent="0.25">
      <c r="A56" s="3" t="s">
        <v>280</v>
      </c>
      <c r="B56" s="143" t="s">
        <v>335</v>
      </c>
      <c r="C56" s="144">
        <v>222</v>
      </c>
      <c r="D56" s="144">
        <v>140</v>
      </c>
      <c r="E56" s="130">
        <v>21.4</v>
      </c>
      <c r="F56" s="132">
        <v>3</v>
      </c>
      <c r="G56" s="132">
        <v>2.4</v>
      </c>
      <c r="H56" s="49">
        <v>3.4580642580645158</v>
      </c>
      <c r="I56" s="164">
        <v>3.5153845384615385</v>
      </c>
      <c r="J56" s="164">
        <v>3.4899997999999997</v>
      </c>
      <c r="K56" s="142">
        <v>153.07608695652175</v>
      </c>
      <c r="L56" s="165">
        <v>152.33333333333334</v>
      </c>
      <c r="M56" s="165">
        <v>153.58823529411765</v>
      </c>
      <c r="N56" s="142">
        <v>154.69565217391303</v>
      </c>
      <c r="O56" s="165">
        <v>154.19999999999999</v>
      </c>
      <c r="P56" s="166">
        <v>154.41176470588235</v>
      </c>
      <c r="Q56" s="146">
        <v>0.10279999999999999</v>
      </c>
      <c r="R56" s="146">
        <v>6.6699999999999995E-2</v>
      </c>
      <c r="S56" s="146">
        <v>8.3299999999999999E-2</v>
      </c>
      <c r="T56" s="167">
        <v>0</v>
      </c>
      <c r="U56" s="167">
        <v>0</v>
      </c>
      <c r="V56" s="168">
        <v>0</v>
      </c>
      <c r="W56" s="169">
        <v>0</v>
      </c>
      <c r="X56" s="169">
        <v>0</v>
      </c>
      <c r="Y56" s="168">
        <v>0</v>
      </c>
      <c r="Z56" s="167">
        <v>0</v>
      </c>
    </row>
  </sheetData>
  <sheetProtection password="EC77" sheet="1" objects="1" scenarios="1"/>
  <sortState ref="A6:Z55">
    <sortCondition ref="A6:A55"/>
  </sortState>
  <mergeCells count="7">
    <mergeCell ref="A1:Z1"/>
    <mergeCell ref="A2:D4"/>
    <mergeCell ref="E2:Z2"/>
    <mergeCell ref="E4:G4"/>
    <mergeCell ref="H4:P4"/>
    <mergeCell ref="Q4:V4"/>
    <mergeCell ref="Y4:Z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opLeftCell="I1" zoomScale="86" zoomScaleNormal="86" workbookViewId="0">
      <selection activeCell="U6" sqref="U6"/>
    </sheetView>
  </sheetViews>
  <sheetFormatPr defaultRowHeight="15" x14ac:dyDescent="0.25"/>
  <cols>
    <col min="1" max="1" width="38" customWidth="1"/>
    <col min="2" max="2" width="10.7109375" customWidth="1"/>
    <col min="3" max="3" width="8.42578125" customWidth="1"/>
    <col min="4" max="9" width="11.140625" customWidth="1"/>
    <col min="10" max="10" width="13.140625" customWidth="1"/>
    <col min="11" max="11" width="13.5703125" customWidth="1"/>
    <col min="12" max="12" width="14.42578125" customWidth="1"/>
    <col min="13" max="13" width="11.140625" customWidth="1"/>
    <col min="14" max="15" width="11" customWidth="1"/>
    <col min="16" max="16" width="12.85546875" customWidth="1"/>
    <col min="17" max="17" width="11" bestFit="1" customWidth="1"/>
    <col min="18" max="18" width="11" customWidth="1"/>
    <col min="19" max="20" width="13.85546875" customWidth="1"/>
    <col min="21" max="21" width="11.7109375" customWidth="1"/>
    <col min="22" max="22" width="12.85546875" customWidth="1"/>
    <col min="23" max="23" width="14" customWidth="1"/>
    <col min="24" max="24" width="14.140625" customWidth="1"/>
    <col min="25" max="25" width="15.85546875" customWidth="1"/>
  </cols>
  <sheetData>
    <row r="1" spans="1:25" ht="18.75" x14ac:dyDescent="0.3">
      <c r="A1" s="213" t="s">
        <v>445</v>
      </c>
      <c r="B1" s="213"/>
      <c r="C1" s="213"/>
      <c r="D1" s="213"/>
      <c r="E1" s="213"/>
      <c r="F1" s="213"/>
      <c r="G1" s="213"/>
      <c r="H1" s="213"/>
      <c r="I1" s="213"/>
      <c r="J1" s="213"/>
      <c r="K1" s="213"/>
      <c r="L1" s="213"/>
      <c r="M1" s="213"/>
      <c r="N1" s="213"/>
      <c r="O1" s="213"/>
      <c r="P1" s="213"/>
      <c r="Q1" s="213"/>
      <c r="R1" s="213"/>
      <c r="S1" s="213"/>
      <c r="T1" s="213"/>
      <c r="U1" s="213"/>
      <c r="V1" s="213"/>
      <c r="W1" s="213"/>
      <c r="X1" s="213"/>
      <c r="Y1" s="213"/>
    </row>
    <row r="2" spans="1:25" ht="18.75" x14ac:dyDescent="0.25">
      <c r="A2" s="214" t="s">
        <v>399</v>
      </c>
      <c r="B2" s="214"/>
      <c r="C2" s="214"/>
      <c r="D2" s="215" t="s">
        <v>406</v>
      </c>
      <c r="E2" s="215"/>
      <c r="F2" s="215"/>
      <c r="G2" s="215"/>
      <c r="H2" s="215"/>
      <c r="I2" s="215"/>
      <c r="J2" s="215"/>
      <c r="K2" s="215"/>
      <c r="L2" s="215"/>
      <c r="M2" s="215"/>
      <c r="N2" s="215"/>
      <c r="O2" s="215"/>
      <c r="P2" s="215"/>
      <c r="Q2" s="215"/>
      <c r="R2" s="215"/>
      <c r="S2" s="215"/>
      <c r="T2" s="215"/>
      <c r="U2" s="215"/>
      <c r="V2" s="215"/>
      <c r="W2" s="215"/>
      <c r="X2" s="215"/>
      <c r="Y2" s="215"/>
    </row>
    <row r="3" spans="1:25" x14ac:dyDescent="0.25">
      <c r="A3" s="214"/>
      <c r="B3" s="214"/>
      <c r="C3" s="214"/>
      <c r="D3" s="186">
        <v>1</v>
      </c>
      <c r="E3" s="186">
        <v>2</v>
      </c>
      <c r="F3" s="186">
        <v>3</v>
      </c>
      <c r="G3" s="181">
        <v>4</v>
      </c>
      <c r="H3" s="181">
        <v>5</v>
      </c>
      <c r="I3" s="181">
        <v>6</v>
      </c>
      <c r="J3" s="181">
        <v>7</v>
      </c>
      <c r="K3" s="181">
        <v>8</v>
      </c>
      <c r="L3" s="181">
        <v>9</v>
      </c>
      <c r="M3" s="181">
        <v>10</v>
      </c>
      <c r="N3" s="181">
        <v>11</v>
      </c>
      <c r="O3" s="181">
        <v>12</v>
      </c>
      <c r="P3" s="182">
        <v>13</v>
      </c>
      <c r="Q3" s="182">
        <v>14</v>
      </c>
      <c r="R3" s="182">
        <v>15</v>
      </c>
      <c r="S3" s="182">
        <v>16</v>
      </c>
      <c r="T3" s="182">
        <v>17</v>
      </c>
      <c r="U3" s="182">
        <v>18</v>
      </c>
      <c r="V3" s="182">
        <v>19</v>
      </c>
      <c r="W3" s="182">
        <v>20</v>
      </c>
      <c r="X3" s="183">
        <v>21</v>
      </c>
      <c r="Y3" s="184">
        <v>22</v>
      </c>
    </row>
    <row r="4" spans="1:25" x14ac:dyDescent="0.25">
      <c r="A4" s="214"/>
      <c r="B4" s="214"/>
      <c r="C4" s="214"/>
      <c r="D4" s="216" t="s">
        <v>382</v>
      </c>
      <c r="E4" s="216"/>
      <c r="F4" s="216"/>
      <c r="G4" s="217" t="s">
        <v>386</v>
      </c>
      <c r="H4" s="217"/>
      <c r="I4" s="217"/>
      <c r="J4" s="217"/>
      <c r="K4" s="217"/>
      <c r="L4" s="217"/>
      <c r="M4" s="217"/>
      <c r="N4" s="217"/>
      <c r="O4" s="217"/>
      <c r="P4" s="223" t="s">
        <v>395</v>
      </c>
      <c r="Q4" s="223"/>
      <c r="R4" s="223"/>
      <c r="S4" s="223"/>
      <c r="T4" s="223"/>
      <c r="U4" s="223"/>
      <c r="V4" s="100"/>
      <c r="W4" s="100"/>
      <c r="X4" s="218" t="s">
        <v>407</v>
      </c>
      <c r="Y4" s="218"/>
    </row>
    <row r="5" spans="1:25" ht="90" x14ac:dyDescent="0.25">
      <c r="A5" s="23" t="s">
        <v>408</v>
      </c>
      <c r="B5" s="23" t="s">
        <v>404</v>
      </c>
      <c r="C5" s="23" t="s">
        <v>1</v>
      </c>
      <c r="D5" s="135" t="s">
        <v>409</v>
      </c>
      <c r="E5" s="135" t="s">
        <v>410</v>
      </c>
      <c r="F5" s="135" t="s">
        <v>411</v>
      </c>
      <c r="G5" s="135" t="s">
        <v>412</v>
      </c>
      <c r="H5" s="135" t="s">
        <v>413</v>
      </c>
      <c r="I5" s="135" t="s">
        <v>414</v>
      </c>
      <c r="J5" s="135" t="s">
        <v>415</v>
      </c>
      <c r="K5" s="135" t="s">
        <v>416</v>
      </c>
      <c r="L5" s="135" t="s">
        <v>417</v>
      </c>
      <c r="M5" s="135" t="s">
        <v>418</v>
      </c>
      <c r="N5" s="135" t="s">
        <v>419</v>
      </c>
      <c r="O5" s="135" t="s">
        <v>420</v>
      </c>
      <c r="P5" s="178" t="s">
        <v>421</v>
      </c>
      <c r="Q5" s="123" t="s">
        <v>422</v>
      </c>
      <c r="R5" s="123" t="s">
        <v>423</v>
      </c>
      <c r="S5" s="123" t="s">
        <v>424</v>
      </c>
      <c r="T5" s="123" t="s">
        <v>425</v>
      </c>
      <c r="U5" s="123" t="s">
        <v>533</v>
      </c>
      <c r="V5" s="124" t="s">
        <v>462</v>
      </c>
      <c r="W5" s="125" t="s">
        <v>461</v>
      </c>
      <c r="X5" s="123" t="s">
        <v>448</v>
      </c>
      <c r="Y5" s="126" t="s">
        <v>449</v>
      </c>
    </row>
    <row r="6" spans="1:25" x14ac:dyDescent="0.25">
      <c r="A6" s="3" t="s">
        <v>40</v>
      </c>
      <c r="B6" s="2">
        <v>216</v>
      </c>
      <c r="C6" s="2">
        <v>349</v>
      </c>
      <c r="D6" s="37">
        <v>3.4</v>
      </c>
      <c r="E6" s="37"/>
      <c r="F6" s="37"/>
      <c r="G6" s="38">
        <v>3.2</v>
      </c>
      <c r="H6" s="32"/>
      <c r="I6" s="32"/>
      <c r="J6" s="59">
        <v>159.69</v>
      </c>
      <c r="K6" s="59"/>
      <c r="L6" s="59"/>
      <c r="M6" s="59">
        <v>150.69</v>
      </c>
      <c r="N6" s="48"/>
      <c r="O6" s="48"/>
      <c r="P6" s="75">
        <v>0</v>
      </c>
      <c r="Q6" s="66"/>
      <c r="R6" s="66"/>
      <c r="S6" s="111">
        <v>0</v>
      </c>
      <c r="T6" s="75">
        <v>0</v>
      </c>
      <c r="U6" s="97">
        <v>0</v>
      </c>
      <c r="V6" s="176">
        <v>0</v>
      </c>
      <c r="W6" s="176">
        <v>0</v>
      </c>
      <c r="X6" s="74">
        <v>0</v>
      </c>
      <c r="Y6" s="177">
        <v>0</v>
      </c>
    </row>
    <row r="7" spans="1:25" x14ac:dyDescent="0.25">
      <c r="A7" s="3" t="s">
        <v>35</v>
      </c>
      <c r="B7" s="2">
        <v>216</v>
      </c>
      <c r="C7" s="2">
        <v>83</v>
      </c>
      <c r="D7" s="37">
        <v>3.8</v>
      </c>
      <c r="E7" s="37"/>
      <c r="F7" s="37"/>
      <c r="G7" s="38">
        <v>3.1</v>
      </c>
      <c r="H7" s="32"/>
      <c r="I7" s="32"/>
      <c r="J7" s="59">
        <v>159</v>
      </c>
      <c r="K7" s="59"/>
      <c r="L7" s="59"/>
      <c r="M7" s="59">
        <v>149.72999999999999</v>
      </c>
      <c r="N7" s="48"/>
      <c r="O7" s="48"/>
      <c r="P7" s="75">
        <v>0.21049999999999999</v>
      </c>
      <c r="Q7" s="66"/>
      <c r="R7" s="66"/>
      <c r="S7" s="111">
        <v>0</v>
      </c>
      <c r="T7" s="111">
        <v>1</v>
      </c>
      <c r="U7" s="97">
        <v>0</v>
      </c>
      <c r="V7" s="176">
        <v>0</v>
      </c>
      <c r="W7" s="176">
        <v>0</v>
      </c>
      <c r="X7" s="74">
        <v>0</v>
      </c>
      <c r="Y7" s="177">
        <v>0</v>
      </c>
    </row>
  </sheetData>
  <sheetProtection password="EC77" sheet="1" objects="1" scenarios="1"/>
  <mergeCells count="7">
    <mergeCell ref="A1:Y1"/>
    <mergeCell ref="A2:C4"/>
    <mergeCell ref="D2:Y2"/>
    <mergeCell ref="D4:F4"/>
    <mergeCell ref="G4:O4"/>
    <mergeCell ref="P4:U4"/>
    <mergeCell ref="X4:Y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opLeftCell="G1" zoomScale="86" zoomScaleNormal="86" workbookViewId="0">
      <selection activeCell="J14" sqref="J14"/>
    </sheetView>
  </sheetViews>
  <sheetFormatPr defaultRowHeight="15" x14ac:dyDescent="0.25"/>
  <cols>
    <col min="1" max="1" width="36" bestFit="1" customWidth="1"/>
    <col min="4" max="4" width="17" customWidth="1"/>
    <col min="5" max="18" width="14.28515625" customWidth="1"/>
    <col min="19" max="19" width="12.7109375" customWidth="1"/>
    <col min="20" max="20" width="13.42578125" customWidth="1"/>
    <col min="21" max="21" width="11.28515625" customWidth="1"/>
    <col min="22" max="22" width="12.5703125" customWidth="1"/>
    <col min="23" max="23" width="12.42578125" customWidth="1"/>
    <col min="24" max="25" width="14.28515625" customWidth="1"/>
  </cols>
  <sheetData>
    <row r="1" spans="1:25" ht="18.75" x14ac:dyDescent="0.3">
      <c r="A1" s="213" t="s">
        <v>517</v>
      </c>
      <c r="B1" s="213"/>
      <c r="C1" s="213"/>
      <c r="D1" s="213"/>
      <c r="E1" s="213"/>
      <c r="F1" s="213"/>
      <c r="G1" s="213"/>
      <c r="H1" s="213"/>
      <c r="I1" s="213"/>
      <c r="J1" s="213"/>
      <c r="K1" s="213"/>
      <c r="L1" s="213"/>
      <c r="M1" s="213"/>
      <c r="N1" s="213"/>
      <c r="O1" s="213"/>
      <c r="P1" s="213"/>
      <c r="Q1" s="213"/>
      <c r="R1" s="213"/>
      <c r="S1" s="213"/>
      <c r="T1" s="213"/>
      <c r="U1" s="213"/>
      <c r="V1" s="213"/>
      <c r="W1" s="213"/>
      <c r="X1" s="213"/>
      <c r="Y1" s="213"/>
    </row>
    <row r="2" spans="1:25" ht="18.75" x14ac:dyDescent="0.25">
      <c r="A2" s="214" t="s">
        <v>399</v>
      </c>
      <c r="B2" s="214"/>
      <c r="C2" s="214"/>
      <c r="D2" s="215" t="s">
        <v>406</v>
      </c>
      <c r="E2" s="215"/>
      <c r="F2" s="215"/>
      <c r="G2" s="215"/>
      <c r="H2" s="215"/>
      <c r="I2" s="215"/>
      <c r="J2" s="215"/>
      <c r="K2" s="215"/>
      <c r="L2" s="215"/>
      <c r="M2" s="215"/>
      <c r="N2" s="215"/>
      <c r="O2" s="215"/>
      <c r="P2" s="215"/>
      <c r="Q2" s="215"/>
      <c r="R2" s="215"/>
      <c r="S2" s="215"/>
      <c r="T2" s="215"/>
      <c r="U2" s="215"/>
      <c r="V2" s="215"/>
      <c r="W2" s="215"/>
      <c r="X2" s="215"/>
      <c r="Y2" s="215"/>
    </row>
    <row r="3" spans="1:25" x14ac:dyDescent="0.25">
      <c r="A3" s="214"/>
      <c r="B3" s="214"/>
      <c r="C3" s="214"/>
      <c r="D3" s="186">
        <v>1</v>
      </c>
      <c r="E3" s="186">
        <v>2</v>
      </c>
      <c r="F3" s="186">
        <v>3</v>
      </c>
      <c r="G3" s="181">
        <v>4</v>
      </c>
      <c r="H3" s="181">
        <v>5</v>
      </c>
      <c r="I3" s="181">
        <v>6</v>
      </c>
      <c r="J3" s="181">
        <v>7</v>
      </c>
      <c r="K3" s="181">
        <v>8</v>
      </c>
      <c r="L3" s="181">
        <v>9</v>
      </c>
      <c r="M3" s="181">
        <v>10</v>
      </c>
      <c r="N3" s="181">
        <v>11</v>
      </c>
      <c r="O3" s="181">
        <v>12</v>
      </c>
      <c r="P3" s="182">
        <v>13</v>
      </c>
      <c r="Q3" s="182">
        <v>14</v>
      </c>
      <c r="R3" s="182">
        <v>15</v>
      </c>
      <c r="S3" s="182">
        <v>16</v>
      </c>
      <c r="T3" s="182">
        <v>17</v>
      </c>
      <c r="U3" s="182">
        <v>18</v>
      </c>
      <c r="V3" s="182">
        <v>19</v>
      </c>
      <c r="W3" s="182">
        <v>20</v>
      </c>
      <c r="X3" s="183">
        <v>21</v>
      </c>
      <c r="Y3" s="184">
        <v>22</v>
      </c>
    </row>
    <row r="4" spans="1:25" x14ac:dyDescent="0.25">
      <c r="A4" s="214"/>
      <c r="B4" s="214"/>
      <c r="C4" s="214"/>
      <c r="D4" s="216" t="s">
        <v>382</v>
      </c>
      <c r="E4" s="216"/>
      <c r="F4" s="216"/>
      <c r="G4" s="217" t="s">
        <v>386</v>
      </c>
      <c r="H4" s="217"/>
      <c r="I4" s="217"/>
      <c r="J4" s="217"/>
      <c r="K4" s="217"/>
      <c r="L4" s="217"/>
      <c r="M4" s="217"/>
      <c r="N4" s="217"/>
      <c r="O4" s="217"/>
      <c r="P4" s="219" t="s">
        <v>395</v>
      </c>
      <c r="Q4" s="220"/>
      <c r="R4" s="220"/>
      <c r="S4" s="220"/>
      <c r="T4" s="220"/>
      <c r="U4" s="220"/>
      <c r="V4" s="220"/>
      <c r="W4" s="221"/>
      <c r="X4" s="218" t="s">
        <v>407</v>
      </c>
      <c r="Y4" s="218"/>
    </row>
    <row r="5" spans="1:25" ht="77.25" x14ac:dyDescent="0.25">
      <c r="A5" s="23" t="s">
        <v>408</v>
      </c>
      <c r="B5" s="23" t="s">
        <v>404</v>
      </c>
      <c r="C5" s="23" t="s">
        <v>1</v>
      </c>
      <c r="D5" s="136" t="s">
        <v>495</v>
      </c>
      <c r="E5" s="136" t="s">
        <v>410</v>
      </c>
      <c r="F5" s="136" t="s">
        <v>494</v>
      </c>
      <c r="G5" s="136" t="s">
        <v>493</v>
      </c>
      <c r="H5" s="136" t="s">
        <v>492</v>
      </c>
      <c r="I5" s="136" t="s">
        <v>491</v>
      </c>
      <c r="J5" s="136" t="s">
        <v>415</v>
      </c>
      <c r="K5" s="136" t="s">
        <v>416</v>
      </c>
      <c r="L5" s="136" t="s">
        <v>417</v>
      </c>
      <c r="M5" s="141" t="s">
        <v>418</v>
      </c>
      <c r="N5" s="136" t="s">
        <v>419</v>
      </c>
      <c r="O5" s="136" t="s">
        <v>420</v>
      </c>
      <c r="P5" s="137" t="s">
        <v>421</v>
      </c>
      <c r="Q5" s="137" t="s">
        <v>422</v>
      </c>
      <c r="R5" s="137" t="s">
        <v>423</v>
      </c>
      <c r="S5" s="137" t="s">
        <v>424</v>
      </c>
      <c r="T5" s="137" t="s">
        <v>425</v>
      </c>
      <c r="U5" s="137" t="s">
        <v>533</v>
      </c>
      <c r="V5" s="124" t="s">
        <v>462</v>
      </c>
      <c r="W5" s="125" t="s">
        <v>461</v>
      </c>
      <c r="X5" s="137" t="s">
        <v>448</v>
      </c>
      <c r="Y5" s="138" t="s">
        <v>449</v>
      </c>
    </row>
    <row r="6" spans="1:25" x14ac:dyDescent="0.25">
      <c r="A6" s="68" t="s">
        <v>3</v>
      </c>
      <c r="B6" s="67">
        <v>219</v>
      </c>
      <c r="C6" s="67">
        <v>343</v>
      </c>
      <c r="D6" s="56">
        <v>170.4</v>
      </c>
      <c r="E6" s="57">
        <v>87.4</v>
      </c>
      <c r="F6" s="57">
        <v>66.400000000000006</v>
      </c>
      <c r="G6" s="65">
        <v>3.51</v>
      </c>
      <c r="H6" s="65">
        <v>3.57</v>
      </c>
      <c r="I6" s="65">
        <v>3.53</v>
      </c>
      <c r="J6" s="65">
        <v>148.34</v>
      </c>
      <c r="K6" s="65">
        <v>150.31</v>
      </c>
      <c r="L6" s="65">
        <v>150.31</v>
      </c>
      <c r="M6" s="65">
        <v>149.99</v>
      </c>
      <c r="N6">
        <v>152.18</v>
      </c>
      <c r="O6" s="65">
        <v>149.87</v>
      </c>
      <c r="P6" s="75">
        <v>0.13850000000000001</v>
      </c>
      <c r="Q6" s="75">
        <v>0.1053</v>
      </c>
      <c r="R6" s="75">
        <v>0.1084</v>
      </c>
      <c r="S6" s="34">
        <v>0.84319999999999995</v>
      </c>
      <c r="T6" s="75">
        <v>0.1462</v>
      </c>
      <c r="U6" s="65">
        <v>16</v>
      </c>
      <c r="V6" s="75">
        <f>(13-0)/29</f>
        <v>0.44827586206896552</v>
      </c>
      <c r="W6" s="75">
        <f>16/29</f>
        <v>0.55172413793103448</v>
      </c>
      <c r="X6" s="65">
        <v>13</v>
      </c>
      <c r="Y6" s="75">
        <f>X6/'Professional Doctoral'!D7</f>
        <v>0.11711711711711711</v>
      </c>
    </row>
    <row r="7" spans="1:25" x14ac:dyDescent="0.25">
      <c r="A7" s="68" t="s">
        <v>31</v>
      </c>
      <c r="B7" s="67">
        <v>211</v>
      </c>
      <c r="C7" s="67">
        <v>111</v>
      </c>
      <c r="D7" s="56">
        <v>15.8</v>
      </c>
      <c r="E7" s="57">
        <v>8.1999999999999993</v>
      </c>
      <c r="F7" s="57">
        <v>7.8</v>
      </c>
      <c r="G7" s="65">
        <v>3.37</v>
      </c>
      <c r="H7" s="65">
        <v>3.39</v>
      </c>
      <c r="I7" s="65">
        <v>3.38</v>
      </c>
      <c r="J7" s="65">
        <v>150.54</v>
      </c>
      <c r="K7" s="65">
        <v>150.26</v>
      </c>
      <c r="L7" s="65">
        <v>149.72</v>
      </c>
      <c r="M7" s="65">
        <v>149.18</v>
      </c>
      <c r="N7" s="65">
        <v>149.77000000000001</v>
      </c>
      <c r="O7" s="65">
        <v>149.25</v>
      </c>
      <c r="P7" s="75">
        <v>8.8599999999999998E-2</v>
      </c>
      <c r="Q7" s="75">
        <v>7.3200000000000001E-2</v>
      </c>
      <c r="R7" s="75">
        <v>0.12820000000000001</v>
      </c>
      <c r="S7" s="75">
        <v>0.44369999999999998</v>
      </c>
      <c r="T7" s="75">
        <v>0.29799999999999999</v>
      </c>
      <c r="U7" s="65">
        <v>3</v>
      </c>
      <c r="V7" s="75">
        <f>(0-0)/3</f>
        <v>0</v>
      </c>
      <c r="W7" s="75">
        <f>3/3</f>
        <v>1</v>
      </c>
      <c r="X7" s="65">
        <v>12</v>
      </c>
      <c r="Y7" s="75">
        <f>X7/'Professional Doctoral'!D8</f>
        <v>0.5</v>
      </c>
    </row>
  </sheetData>
  <sheetProtection password="EC77" sheet="1" objects="1" scenarios="1"/>
  <mergeCells count="7">
    <mergeCell ref="A1:Y1"/>
    <mergeCell ref="A2:C4"/>
    <mergeCell ref="D2:Y2"/>
    <mergeCell ref="D4:F4"/>
    <mergeCell ref="G4:O4"/>
    <mergeCell ref="X4:Y4"/>
    <mergeCell ref="P4:W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2"/>
  <sheetViews>
    <sheetView topLeftCell="A37" workbookViewId="0">
      <selection activeCell="A23" sqref="A23"/>
    </sheetView>
  </sheetViews>
  <sheetFormatPr defaultColWidth="9.140625" defaultRowHeight="15" x14ac:dyDescent="0.25"/>
  <cols>
    <col min="1" max="1" width="159.140625" style="17" customWidth="1"/>
    <col min="2" max="3" width="9.140625" style="17"/>
    <col min="4" max="4" width="57.5703125" style="17" bestFit="1" customWidth="1"/>
    <col min="5" max="16384" width="9.140625" style="17"/>
  </cols>
  <sheetData>
    <row r="1" spans="1:1" ht="15.75" x14ac:dyDescent="0.25">
      <c r="A1" s="7" t="s">
        <v>516</v>
      </c>
    </row>
    <row r="2" spans="1:1" ht="15.75" x14ac:dyDescent="0.25">
      <c r="A2" s="7" t="s">
        <v>427</v>
      </c>
    </row>
    <row r="3" spans="1:1" ht="15.75" x14ac:dyDescent="0.25">
      <c r="A3" s="8" t="s">
        <v>372</v>
      </c>
    </row>
    <row r="4" spans="1:1" ht="15.75" x14ac:dyDescent="0.25">
      <c r="A4" s="9" t="s">
        <v>373</v>
      </c>
    </row>
    <row r="5" spans="1:1" ht="15.75" x14ac:dyDescent="0.25">
      <c r="A5" s="10" t="s">
        <v>468</v>
      </c>
    </row>
    <row r="6" spans="1:1" ht="15.75" x14ac:dyDescent="0.25">
      <c r="A6" s="10" t="s">
        <v>374</v>
      </c>
    </row>
    <row r="7" spans="1:1" ht="15.75" x14ac:dyDescent="0.25">
      <c r="A7" s="9" t="s">
        <v>375</v>
      </c>
    </row>
    <row r="8" spans="1:1" ht="15.75" x14ac:dyDescent="0.25">
      <c r="A8" s="10" t="s">
        <v>473</v>
      </c>
    </row>
    <row r="9" spans="1:1" ht="15.75" x14ac:dyDescent="0.25">
      <c r="A9" s="10" t="s">
        <v>374</v>
      </c>
    </row>
    <row r="10" spans="1:1" ht="31.5" x14ac:dyDescent="0.25">
      <c r="A10" s="11" t="s">
        <v>481</v>
      </c>
    </row>
    <row r="11" spans="1:1" ht="15.75" x14ac:dyDescent="0.25">
      <c r="A11" s="9" t="s">
        <v>455</v>
      </c>
    </row>
    <row r="12" spans="1:1" ht="15.75" x14ac:dyDescent="0.25">
      <c r="A12" s="10" t="s">
        <v>428</v>
      </c>
    </row>
    <row r="13" spans="1:1" ht="15.75" x14ac:dyDescent="0.25">
      <c r="A13" s="10" t="s">
        <v>479</v>
      </c>
    </row>
    <row r="14" spans="1:1" ht="15.75" x14ac:dyDescent="0.25">
      <c r="A14" s="10" t="s">
        <v>478</v>
      </c>
    </row>
    <row r="15" spans="1:1" ht="15.75" x14ac:dyDescent="0.25">
      <c r="A15" s="9" t="s">
        <v>456</v>
      </c>
    </row>
    <row r="16" spans="1:1" ht="15.75" x14ac:dyDescent="0.25">
      <c r="A16" s="10" t="s">
        <v>467</v>
      </c>
    </row>
    <row r="17" spans="1:1" ht="15.75" x14ac:dyDescent="0.25">
      <c r="A17" s="10" t="s">
        <v>477</v>
      </c>
    </row>
    <row r="18" spans="1:1" ht="15.75" x14ac:dyDescent="0.25">
      <c r="A18" s="10" t="s">
        <v>476</v>
      </c>
    </row>
    <row r="19" spans="1:1" ht="15.75" x14ac:dyDescent="0.25">
      <c r="A19" s="8" t="s">
        <v>378</v>
      </c>
    </row>
    <row r="20" spans="1:1" ht="15.75" x14ac:dyDescent="0.25">
      <c r="A20" s="9" t="s">
        <v>400</v>
      </c>
    </row>
    <row r="21" spans="1:1" ht="31.5" x14ac:dyDescent="0.25">
      <c r="A21" s="102" t="s">
        <v>530</v>
      </c>
    </row>
    <row r="22" spans="1:1" ht="15.75" x14ac:dyDescent="0.25">
      <c r="A22" s="10" t="s">
        <v>374</v>
      </c>
    </row>
    <row r="23" spans="1:1" ht="15.75" x14ac:dyDescent="0.25">
      <c r="A23" s="9" t="s">
        <v>452</v>
      </c>
    </row>
    <row r="24" spans="1:1" ht="15.75" x14ac:dyDescent="0.25">
      <c r="A24" s="10" t="s">
        <v>463</v>
      </c>
    </row>
    <row r="25" spans="1:1" ht="15.75" x14ac:dyDescent="0.25">
      <c r="A25" s="10" t="s">
        <v>374</v>
      </c>
    </row>
    <row r="26" spans="1:1" ht="15.75" x14ac:dyDescent="0.25">
      <c r="A26" s="10" t="s">
        <v>429</v>
      </c>
    </row>
    <row r="27" spans="1:1" ht="15.75" x14ac:dyDescent="0.25">
      <c r="A27" s="8" t="s">
        <v>379</v>
      </c>
    </row>
    <row r="28" spans="1:1" ht="15.75" x14ac:dyDescent="0.25">
      <c r="A28" s="9" t="s">
        <v>453</v>
      </c>
    </row>
    <row r="29" spans="1:1" ht="15.75" x14ac:dyDescent="0.25">
      <c r="A29" s="10" t="s">
        <v>466</v>
      </c>
    </row>
    <row r="30" spans="1:1" ht="15.75" x14ac:dyDescent="0.25">
      <c r="A30" s="10" t="s">
        <v>374</v>
      </c>
    </row>
    <row r="31" spans="1:1" ht="15.75" x14ac:dyDescent="0.25">
      <c r="A31" s="10" t="s">
        <v>380</v>
      </c>
    </row>
    <row r="32" spans="1:1" ht="15.75" x14ac:dyDescent="0.25">
      <c r="A32" s="9" t="s">
        <v>454</v>
      </c>
    </row>
    <row r="33" spans="1:1" ht="15.75" x14ac:dyDescent="0.25">
      <c r="A33" s="10" t="s">
        <v>469</v>
      </c>
    </row>
    <row r="34" spans="1:1" ht="15.75" x14ac:dyDescent="0.25">
      <c r="A34" s="10" t="s">
        <v>381</v>
      </c>
    </row>
    <row r="35" spans="1:1" ht="15.75" x14ac:dyDescent="0.25">
      <c r="A35" s="10"/>
    </row>
    <row r="36" spans="1:1" ht="15.75" x14ac:dyDescent="0.25">
      <c r="A36" s="7" t="s">
        <v>430</v>
      </c>
    </row>
    <row r="37" spans="1:1" ht="15.75" customHeight="1" x14ac:dyDescent="0.25">
      <c r="A37" s="8" t="s">
        <v>382</v>
      </c>
    </row>
    <row r="38" spans="1:1" ht="15.75" customHeight="1" x14ac:dyDescent="0.25">
      <c r="A38" s="8" t="s">
        <v>383</v>
      </c>
    </row>
    <row r="39" spans="1:1" ht="15.75" customHeight="1" x14ac:dyDescent="0.25">
      <c r="A39" s="10" t="s">
        <v>376</v>
      </c>
    </row>
    <row r="40" spans="1:1" ht="15.75" customHeight="1" x14ac:dyDescent="0.25">
      <c r="A40" s="10" t="s">
        <v>431</v>
      </c>
    </row>
    <row r="41" spans="1:1" ht="15.75" customHeight="1" x14ac:dyDescent="0.25">
      <c r="A41" s="8" t="s">
        <v>384</v>
      </c>
    </row>
    <row r="42" spans="1:1" ht="15.75" customHeight="1" x14ac:dyDescent="0.25">
      <c r="A42" s="10" t="s">
        <v>376</v>
      </c>
    </row>
    <row r="43" spans="1:1" ht="15.75" customHeight="1" x14ac:dyDescent="0.25">
      <c r="A43" s="10" t="s">
        <v>432</v>
      </c>
    </row>
    <row r="44" spans="1:1" ht="15.75" customHeight="1" x14ac:dyDescent="0.25">
      <c r="A44" s="8" t="s">
        <v>385</v>
      </c>
    </row>
    <row r="45" spans="1:1" ht="15.75" customHeight="1" x14ac:dyDescent="0.25">
      <c r="A45" s="10" t="s">
        <v>377</v>
      </c>
    </row>
    <row r="46" spans="1:1" ht="15.75" customHeight="1" x14ac:dyDescent="0.25">
      <c r="A46" s="10" t="s">
        <v>433</v>
      </c>
    </row>
    <row r="47" spans="1:1" ht="15.75" x14ac:dyDescent="0.25">
      <c r="A47" s="8" t="s">
        <v>386</v>
      </c>
    </row>
    <row r="48" spans="1:1" ht="15.75" x14ac:dyDescent="0.25">
      <c r="A48" s="12" t="s">
        <v>387</v>
      </c>
    </row>
    <row r="49" spans="1:1" ht="15.75" x14ac:dyDescent="0.25">
      <c r="A49" s="10" t="s">
        <v>376</v>
      </c>
    </row>
    <row r="50" spans="1:1" ht="18" customHeight="1" x14ac:dyDescent="0.25">
      <c r="A50" s="11" t="s">
        <v>434</v>
      </c>
    </row>
    <row r="51" spans="1:1" ht="15.75" x14ac:dyDescent="0.25">
      <c r="A51" s="12" t="s">
        <v>388</v>
      </c>
    </row>
    <row r="52" spans="1:1" ht="15.75" x14ac:dyDescent="0.25">
      <c r="A52" s="10" t="s">
        <v>376</v>
      </c>
    </row>
    <row r="53" spans="1:1" ht="15.75" x14ac:dyDescent="0.25">
      <c r="A53" s="11" t="s">
        <v>435</v>
      </c>
    </row>
    <row r="54" spans="1:1" ht="15.75" x14ac:dyDescent="0.25">
      <c r="A54" s="13" t="s">
        <v>389</v>
      </c>
    </row>
    <row r="55" spans="1:1" ht="15.75" x14ac:dyDescent="0.25">
      <c r="A55" s="10" t="s">
        <v>376</v>
      </c>
    </row>
    <row r="56" spans="1:1" ht="17.25" customHeight="1" x14ac:dyDescent="0.25">
      <c r="A56" s="11" t="s">
        <v>436</v>
      </c>
    </row>
    <row r="57" spans="1:1" ht="15.75" x14ac:dyDescent="0.25">
      <c r="A57" s="13" t="s">
        <v>390</v>
      </c>
    </row>
    <row r="58" spans="1:1" ht="15.75" x14ac:dyDescent="0.25">
      <c r="A58" s="10" t="s">
        <v>376</v>
      </c>
    </row>
    <row r="59" spans="1:1" ht="19.5" customHeight="1" x14ac:dyDescent="0.25">
      <c r="A59" s="11" t="s">
        <v>437</v>
      </c>
    </row>
    <row r="60" spans="1:1" ht="15.75" x14ac:dyDescent="0.25">
      <c r="A60" s="13" t="s">
        <v>470</v>
      </c>
    </row>
    <row r="61" spans="1:1" ht="15.75" x14ac:dyDescent="0.25">
      <c r="A61" s="10" t="s">
        <v>376</v>
      </c>
    </row>
    <row r="62" spans="1:1" ht="19.5" customHeight="1" x14ac:dyDescent="0.25">
      <c r="A62" s="11" t="s">
        <v>438</v>
      </c>
    </row>
    <row r="63" spans="1:1" ht="15.75" x14ac:dyDescent="0.25">
      <c r="A63" s="12" t="s">
        <v>391</v>
      </c>
    </row>
    <row r="64" spans="1:1" ht="15.75" x14ac:dyDescent="0.25">
      <c r="A64" s="10" t="s">
        <v>376</v>
      </c>
    </row>
    <row r="65" spans="1:1" ht="31.5" x14ac:dyDescent="0.25">
      <c r="A65" s="11" t="s">
        <v>439</v>
      </c>
    </row>
    <row r="66" spans="1:1" ht="15.75" x14ac:dyDescent="0.25">
      <c r="A66" s="12" t="s">
        <v>392</v>
      </c>
    </row>
    <row r="67" spans="1:1" ht="15.75" x14ac:dyDescent="0.25">
      <c r="A67" s="10" t="s">
        <v>376</v>
      </c>
    </row>
    <row r="68" spans="1:1" ht="21" customHeight="1" x14ac:dyDescent="0.25">
      <c r="A68" s="11" t="s">
        <v>440</v>
      </c>
    </row>
    <row r="69" spans="1:1" ht="15.75" x14ac:dyDescent="0.25">
      <c r="A69" s="12" t="s">
        <v>393</v>
      </c>
    </row>
    <row r="70" spans="1:1" ht="15.75" x14ac:dyDescent="0.25">
      <c r="A70" s="10" t="s">
        <v>376</v>
      </c>
    </row>
    <row r="71" spans="1:1" ht="15.75" x14ac:dyDescent="0.25">
      <c r="A71" s="11" t="s">
        <v>441</v>
      </c>
    </row>
    <row r="72" spans="1:1" ht="15.75" x14ac:dyDescent="0.25">
      <c r="A72" s="12" t="s">
        <v>394</v>
      </c>
    </row>
    <row r="73" spans="1:1" ht="15.75" x14ac:dyDescent="0.25">
      <c r="A73" s="10" t="s">
        <v>376</v>
      </c>
    </row>
    <row r="74" spans="1:1" ht="31.5" x14ac:dyDescent="0.25">
      <c r="A74" s="11" t="s">
        <v>442</v>
      </c>
    </row>
    <row r="75" spans="1:1" ht="15.75" x14ac:dyDescent="0.25">
      <c r="A75" s="14" t="s">
        <v>395</v>
      </c>
    </row>
    <row r="76" spans="1:1" ht="15.75" x14ac:dyDescent="0.25">
      <c r="A76" s="15" t="s">
        <v>507</v>
      </c>
    </row>
    <row r="77" spans="1:1" ht="15.75" x14ac:dyDescent="0.25">
      <c r="A77" s="10" t="s">
        <v>376</v>
      </c>
    </row>
    <row r="78" spans="1:1" ht="31.5" x14ac:dyDescent="0.25">
      <c r="A78" s="11" t="s">
        <v>474</v>
      </c>
    </row>
    <row r="79" spans="1:1" ht="15.75" x14ac:dyDescent="0.25">
      <c r="A79" s="15" t="s">
        <v>508</v>
      </c>
    </row>
    <row r="80" spans="1:1" ht="15.75" x14ac:dyDescent="0.25">
      <c r="A80" s="10" t="s">
        <v>376</v>
      </c>
    </row>
    <row r="81" spans="1:1" ht="31.5" x14ac:dyDescent="0.25">
      <c r="A81" s="11" t="s">
        <v>475</v>
      </c>
    </row>
    <row r="82" spans="1:1" ht="15.75" x14ac:dyDescent="0.25">
      <c r="A82" s="15" t="s">
        <v>509</v>
      </c>
    </row>
    <row r="83" spans="1:1" ht="15.75" x14ac:dyDescent="0.25">
      <c r="A83" s="10" t="s">
        <v>376</v>
      </c>
    </row>
    <row r="84" spans="1:1" ht="31.5" x14ac:dyDescent="0.25">
      <c r="A84" s="11" t="s">
        <v>482</v>
      </c>
    </row>
    <row r="85" spans="1:1" ht="15.75" x14ac:dyDescent="0.25">
      <c r="A85" s="15" t="s">
        <v>510</v>
      </c>
    </row>
    <row r="86" spans="1:1" ht="15.75" x14ac:dyDescent="0.25">
      <c r="A86" s="10" t="s">
        <v>396</v>
      </c>
    </row>
    <row r="87" spans="1:1" ht="15.75" x14ac:dyDescent="0.25">
      <c r="A87" s="10" t="s">
        <v>503</v>
      </c>
    </row>
    <row r="88" spans="1:1" ht="15.75" x14ac:dyDescent="0.25">
      <c r="A88" s="15" t="s">
        <v>511</v>
      </c>
    </row>
    <row r="89" spans="1:1" ht="15.75" x14ac:dyDescent="0.25">
      <c r="A89" s="10" t="s">
        <v>396</v>
      </c>
    </row>
    <row r="90" spans="1:1" ht="15.75" x14ac:dyDescent="0.25">
      <c r="A90" s="10" t="s">
        <v>504</v>
      </c>
    </row>
    <row r="91" spans="1:1" ht="15.75" x14ac:dyDescent="0.25">
      <c r="A91" s="15" t="s">
        <v>512</v>
      </c>
    </row>
    <row r="92" spans="1:1" ht="29.25" customHeight="1" x14ac:dyDescent="0.25">
      <c r="A92" s="11" t="s">
        <v>465</v>
      </c>
    </row>
    <row r="93" spans="1:1" ht="15.75" x14ac:dyDescent="0.25">
      <c r="A93" s="15" t="s">
        <v>520</v>
      </c>
    </row>
    <row r="94" spans="1:1" ht="15.75" x14ac:dyDescent="0.25">
      <c r="A94" s="101" t="s">
        <v>463</v>
      </c>
    </row>
    <row r="95" spans="1:1" ht="30.75" customHeight="1" x14ac:dyDescent="0.25">
      <c r="A95" s="102" t="s">
        <v>471</v>
      </c>
    </row>
    <row r="96" spans="1:1" ht="15.75" x14ac:dyDescent="0.25">
      <c r="A96" s="101" t="s">
        <v>429</v>
      </c>
    </row>
    <row r="97" spans="1:1" ht="15.75" x14ac:dyDescent="0.25">
      <c r="A97" s="15" t="s">
        <v>513</v>
      </c>
    </row>
    <row r="98" spans="1:1" ht="15.75" x14ac:dyDescent="0.25">
      <c r="A98" s="102" t="s">
        <v>466</v>
      </c>
    </row>
    <row r="99" spans="1:1" ht="31.5" x14ac:dyDescent="0.25">
      <c r="A99" s="102" t="s">
        <v>472</v>
      </c>
    </row>
    <row r="100" spans="1:1" ht="15.75" x14ac:dyDescent="0.25">
      <c r="A100" s="102" t="s">
        <v>464</v>
      </c>
    </row>
    <row r="101" spans="1:1" ht="15.75" x14ac:dyDescent="0.25">
      <c r="A101" s="8" t="s">
        <v>397</v>
      </c>
    </row>
    <row r="102" spans="1:1" ht="15.75" x14ac:dyDescent="0.25">
      <c r="A102" s="16" t="s">
        <v>514</v>
      </c>
    </row>
    <row r="103" spans="1:1" ht="15.75" x14ac:dyDescent="0.25">
      <c r="A103" s="10" t="s">
        <v>398</v>
      </c>
    </row>
    <row r="104" spans="1:1" ht="15.75" x14ac:dyDescent="0.25">
      <c r="A104" s="101" t="s">
        <v>486</v>
      </c>
    </row>
    <row r="105" spans="1:1" ht="15.75" x14ac:dyDescent="0.25">
      <c r="A105" s="16" t="s">
        <v>515</v>
      </c>
    </row>
    <row r="106" spans="1:1" ht="15.75" x14ac:dyDescent="0.25">
      <c r="A106" s="10" t="s">
        <v>398</v>
      </c>
    </row>
    <row r="107" spans="1:1" ht="15.75" x14ac:dyDescent="0.25">
      <c r="A107" s="10" t="s">
        <v>480</v>
      </c>
    </row>
    <row r="108" spans="1:1" ht="15.75" x14ac:dyDescent="0.25">
      <c r="A108" s="12"/>
    </row>
    <row r="109" spans="1:1" ht="15.75" x14ac:dyDescent="0.25">
      <c r="A109" s="12"/>
    </row>
    <row r="110" spans="1:1" ht="15.75" x14ac:dyDescent="0.25">
      <c r="A110" s="12" t="s">
        <v>399</v>
      </c>
    </row>
    <row r="111" spans="1:1" ht="15.75" x14ac:dyDescent="0.25">
      <c r="A111" s="12"/>
    </row>
    <row r="112" spans="1:1" ht="15.75" x14ac:dyDescent="0.25">
      <c r="A112" s="15"/>
    </row>
  </sheetData>
  <sheetProtection password="EC77"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J17" sqref="J17"/>
    </sheetView>
  </sheetViews>
  <sheetFormatPr defaultRowHeight="15" x14ac:dyDescent="0.25"/>
  <cols>
    <col min="1" max="1" width="32.5703125" customWidth="1"/>
    <col min="2" max="2" width="6.7109375" customWidth="1"/>
    <col min="3" max="3" width="7.7109375" customWidth="1"/>
    <col min="4" max="4" width="15" customWidth="1"/>
    <col min="5" max="5" width="16.42578125" customWidth="1"/>
    <col min="6" max="6" width="23.28515625" customWidth="1"/>
    <col min="7" max="7" width="16.7109375" customWidth="1"/>
    <col min="8" max="8" width="20" customWidth="1"/>
    <col min="9" max="9" width="13.5703125" customWidth="1"/>
    <col min="10" max="10" width="20" customWidth="1"/>
    <col min="11" max="11" width="17.140625" customWidth="1"/>
    <col min="12" max="12" width="17.42578125" customWidth="1"/>
  </cols>
  <sheetData>
    <row r="1" spans="1:12" ht="18.75" x14ac:dyDescent="0.25">
      <c r="A1" s="191" t="s">
        <v>519</v>
      </c>
      <c r="B1" s="192"/>
      <c r="C1" s="192"/>
      <c r="D1" s="192"/>
      <c r="E1" s="192"/>
      <c r="F1" s="192"/>
      <c r="G1" s="192"/>
      <c r="H1" s="192"/>
      <c r="I1" s="192"/>
      <c r="J1" s="192"/>
      <c r="K1" s="193"/>
    </row>
    <row r="2" spans="1:12" ht="15" customHeight="1" x14ac:dyDescent="0.25">
      <c r="A2" s="40" t="s">
        <v>399</v>
      </c>
      <c r="B2" s="86"/>
      <c r="C2" s="86"/>
      <c r="D2" s="194" t="s">
        <v>401</v>
      </c>
      <c r="E2" s="195"/>
      <c r="F2" s="195"/>
      <c r="G2" s="195"/>
      <c r="H2" s="195"/>
      <c r="I2" s="195"/>
      <c r="J2" s="195"/>
      <c r="K2" s="196"/>
    </row>
    <row r="3" spans="1:12" x14ac:dyDescent="0.25">
      <c r="A3" s="40" t="s">
        <v>399</v>
      </c>
      <c r="B3" s="86"/>
      <c r="C3" s="86"/>
      <c r="D3" s="197"/>
      <c r="E3" s="198"/>
      <c r="F3" s="198"/>
      <c r="G3" s="198"/>
      <c r="H3" s="198"/>
      <c r="I3" s="198"/>
      <c r="J3" s="198"/>
      <c r="K3" s="199"/>
    </row>
    <row r="4" spans="1:12" ht="18.75" x14ac:dyDescent="0.3">
      <c r="A4" s="40"/>
      <c r="B4" s="86" t="s">
        <v>399</v>
      </c>
      <c r="C4" s="86"/>
      <c r="D4" s="200" t="s">
        <v>521</v>
      </c>
      <c r="E4" s="201"/>
      <c r="F4" s="201"/>
      <c r="G4" s="202"/>
      <c r="H4" s="203" t="s">
        <v>402</v>
      </c>
      <c r="I4" s="204"/>
      <c r="J4" s="205" t="s">
        <v>403</v>
      </c>
      <c r="K4" s="206"/>
    </row>
    <row r="5" spans="1:12" x14ac:dyDescent="0.25">
      <c r="A5" s="41"/>
      <c r="B5" s="87"/>
      <c r="C5" s="87"/>
      <c r="D5" s="78">
        <v>1</v>
      </c>
      <c r="E5" s="78">
        <v>2</v>
      </c>
      <c r="F5" s="78" t="s">
        <v>535</v>
      </c>
      <c r="G5" s="78" t="s">
        <v>536</v>
      </c>
      <c r="H5" s="79">
        <v>5</v>
      </c>
      <c r="I5" s="79">
        <v>6</v>
      </c>
      <c r="J5" s="20">
        <v>7</v>
      </c>
      <c r="K5" s="42">
        <v>8</v>
      </c>
    </row>
    <row r="6" spans="1:12" ht="64.5" x14ac:dyDescent="0.25">
      <c r="A6" s="21" t="s">
        <v>405</v>
      </c>
      <c r="B6" s="21" t="s">
        <v>404</v>
      </c>
      <c r="C6" s="22" t="s">
        <v>1</v>
      </c>
      <c r="D6" s="127" t="s">
        <v>446</v>
      </c>
      <c r="E6" s="127" t="s">
        <v>447</v>
      </c>
      <c r="F6" s="139" t="s">
        <v>457</v>
      </c>
      <c r="G6" s="139" t="s">
        <v>458</v>
      </c>
      <c r="H6" s="127" t="s">
        <v>501</v>
      </c>
      <c r="I6" s="124" t="s">
        <v>459</v>
      </c>
      <c r="J6" s="125" t="s">
        <v>460</v>
      </c>
      <c r="K6" s="127" t="s">
        <v>483</v>
      </c>
    </row>
    <row r="7" spans="1:12" x14ac:dyDescent="0.25">
      <c r="A7" s="3" t="s">
        <v>484</v>
      </c>
      <c r="B7" s="2">
        <v>215</v>
      </c>
      <c r="C7" s="2" t="s">
        <v>485</v>
      </c>
      <c r="D7" s="5">
        <v>80</v>
      </c>
      <c r="E7" s="75">
        <f>'EdD Additive'!U6/D7</f>
        <v>0.1875</v>
      </c>
      <c r="F7" s="5"/>
      <c r="G7" s="5"/>
      <c r="H7" s="66">
        <v>3.5</v>
      </c>
      <c r="I7" s="73">
        <f>(32-7)/42</f>
        <v>0.59523809523809523</v>
      </c>
      <c r="J7" s="73">
        <f>10/42</f>
        <v>0.23809523809523808</v>
      </c>
      <c r="K7" s="74">
        <v>18</v>
      </c>
    </row>
    <row r="8" spans="1:12" x14ac:dyDescent="0.25">
      <c r="A8" s="3" t="s">
        <v>8</v>
      </c>
      <c r="B8" s="2">
        <v>215</v>
      </c>
      <c r="C8" s="2">
        <v>54</v>
      </c>
      <c r="D8" s="5">
        <v>71</v>
      </c>
      <c r="E8" s="75">
        <f>'EdD Additive'!U7/D8</f>
        <v>0.19718309859154928</v>
      </c>
      <c r="F8" s="28"/>
      <c r="G8" s="28"/>
      <c r="H8" s="5">
        <v>5.04</v>
      </c>
      <c r="I8" s="73">
        <f>(40-9)/45</f>
        <v>0.68888888888888888</v>
      </c>
      <c r="J8" s="73">
        <f>5/45</f>
        <v>0.1111111111111111</v>
      </c>
      <c r="K8" s="74">
        <v>20</v>
      </c>
    </row>
    <row r="9" spans="1:12" x14ac:dyDescent="0.25">
      <c r="A9" s="3" t="s">
        <v>12</v>
      </c>
      <c r="B9" s="2">
        <v>215</v>
      </c>
      <c r="C9" s="2">
        <v>80</v>
      </c>
      <c r="D9" s="5">
        <v>47</v>
      </c>
      <c r="E9" s="75">
        <f>'EdD Additive'!U8/D9</f>
        <v>0.36170212765957449</v>
      </c>
      <c r="F9" s="28"/>
      <c r="G9" s="28"/>
      <c r="H9" s="5">
        <v>4.0199999999999996</v>
      </c>
      <c r="I9" s="73">
        <f>(16-6)/35</f>
        <v>0.2857142857142857</v>
      </c>
      <c r="J9" s="73">
        <f>19/35</f>
        <v>0.54285714285714282</v>
      </c>
      <c r="K9" s="74">
        <v>23</v>
      </c>
    </row>
    <row r="10" spans="1:12" x14ac:dyDescent="0.25">
      <c r="A10" s="3" t="s">
        <v>14</v>
      </c>
      <c r="B10" s="2">
        <v>215</v>
      </c>
      <c r="C10" s="2">
        <v>91</v>
      </c>
      <c r="D10" s="96">
        <v>0</v>
      </c>
      <c r="E10" s="75">
        <v>0</v>
      </c>
      <c r="F10" s="28"/>
      <c r="G10" s="28"/>
      <c r="H10" s="73" t="s">
        <v>451</v>
      </c>
      <c r="I10" s="73" t="s">
        <v>451</v>
      </c>
      <c r="J10" s="73" t="s">
        <v>451</v>
      </c>
      <c r="K10" s="74">
        <v>0</v>
      </c>
    </row>
    <row r="11" spans="1:12" x14ac:dyDescent="0.25">
      <c r="A11" s="3" t="s">
        <v>16</v>
      </c>
      <c r="B11" s="2">
        <v>215</v>
      </c>
      <c r="C11" s="2">
        <v>98</v>
      </c>
      <c r="D11" s="96">
        <v>0</v>
      </c>
      <c r="E11" s="75">
        <v>0</v>
      </c>
      <c r="F11" s="28"/>
      <c r="G11" s="28"/>
      <c r="H11" s="73" t="s">
        <v>451</v>
      </c>
      <c r="I11" s="73" t="s">
        <v>451</v>
      </c>
      <c r="J11" s="73" t="s">
        <v>451</v>
      </c>
      <c r="K11" s="74">
        <v>0</v>
      </c>
      <c r="L11" s="188" t="s">
        <v>534</v>
      </c>
    </row>
    <row r="12" spans="1:12" x14ac:dyDescent="0.25">
      <c r="A12" s="3" t="s">
        <v>18</v>
      </c>
      <c r="B12" s="2">
        <v>215</v>
      </c>
      <c r="C12" s="2">
        <v>122</v>
      </c>
      <c r="D12" s="96">
        <v>0</v>
      </c>
      <c r="E12" s="75">
        <v>0</v>
      </c>
      <c r="F12" s="28"/>
      <c r="G12" s="28"/>
      <c r="H12" s="73" t="s">
        <v>451</v>
      </c>
      <c r="I12" s="73">
        <f>(1-0)/1</f>
        <v>1</v>
      </c>
      <c r="J12" s="73">
        <f>0/1</f>
        <v>0</v>
      </c>
      <c r="K12" s="74">
        <v>0</v>
      </c>
      <c r="L12" s="188" t="s">
        <v>534</v>
      </c>
    </row>
    <row r="13" spans="1:12" x14ac:dyDescent="0.25">
      <c r="A13" s="3" t="s">
        <v>20</v>
      </c>
      <c r="B13" s="2">
        <v>215</v>
      </c>
      <c r="C13" s="2">
        <v>124</v>
      </c>
      <c r="D13" s="96">
        <v>0</v>
      </c>
      <c r="E13" s="75">
        <v>0</v>
      </c>
      <c r="F13" s="28"/>
      <c r="G13" s="28"/>
      <c r="H13" s="73" t="s">
        <v>451</v>
      </c>
      <c r="I13" s="73" t="s">
        <v>451</v>
      </c>
      <c r="J13" s="73" t="s">
        <v>451</v>
      </c>
      <c r="K13" s="74">
        <v>0</v>
      </c>
    </row>
    <row r="14" spans="1:12" x14ac:dyDescent="0.25">
      <c r="A14" s="3" t="s">
        <v>22</v>
      </c>
      <c r="B14" s="2">
        <v>215</v>
      </c>
      <c r="C14" s="2">
        <v>125</v>
      </c>
      <c r="D14" s="96">
        <v>0</v>
      </c>
      <c r="E14" s="75">
        <v>0</v>
      </c>
      <c r="F14" s="28"/>
      <c r="G14" s="28"/>
      <c r="H14" s="73" t="s">
        <v>451</v>
      </c>
      <c r="I14" s="73" t="s">
        <v>451</v>
      </c>
      <c r="J14" s="73" t="s">
        <v>451</v>
      </c>
      <c r="K14" s="74">
        <v>0</v>
      </c>
    </row>
    <row r="15" spans="1:12" x14ac:dyDescent="0.25">
      <c r="A15" s="3" t="s">
        <v>24</v>
      </c>
      <c r="B15" s="2">
        <v>215</v>
      </c>
      <c r="C15" s="2">
        <v>131</v>
      </c>
      <c r="D15" s="5">
        <v>2</v>
      </c>
      <c r="E15" s="75">
        <f>'EdD Additive'!U14/D15</f>
        <v>0.5</v>
      </c>
      <c r="F15" s="28"/>
      <c r="G15" s="28"/>
      <c r="H15" s="5">
        <v>12.39</v>
      </c>
      <c r="I15" s="73">
        <f>(4-0)/4</f>
        <v>1</v>
      </c>
      <c r="J15" s="73">
        <f>0/4</f>
        <v>0</v>
      </c>
      <c r="K15" s="74">
        <v>3</v>
      </c>
    </row>
    <row r="17" spans="6:6" ht="90.6" customHeight="1" x14ac:dyDescent="0.25">
      <c r="F17" s="190" t="s">
        <v>537</v>
      </c>
    </row>
    <row r="18" spans="6:6" x14ac:dyDescent="0.25">
      <c r="F18" s="189"/>
    </row>
  </sheetData>
  <sheetProtection password="EC77" sheet="1" objects="1" scenarios="1"/>
  <mergeCells count="5">
    <mergeCell ref="A1:K1"/>
    <mergeCell ref="D2:K3"/>
    <mergeCell ref="D4:G4"/>
    <mergeCell ref="H4:I4"/>
    <mergeCell ref="J4:K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workbookViewId="0">
      <selection activeCell="K6" sqref="K6"/>
    </sheetView>
  </sheetViews>
  <sheetFormatPr defaultRowHeight="15" x14ac:dyDescent="0.25"/>
  <cols>
    <col min="1" max="1" width="36.28515625" bestFit="1" customWidth="1"/>
    <col min="2" max="2" width="9.42578125" customWidth="1"/>
    <col min="3" max="3" width="11.7109375" customWidth="1"/>
    <col min="4" max="8" width="17.140625" customWidth="1"/>
    <col min="9" max="9" width="20" customWidth="1"/>
    <col min="10" max="10" width="17.5703125" bestFit="1" customWidth="1"/>
    <col min="11" max="11" width="17.5703125" style="50" customWidth="1"/>
  </cols>
  <sheetData>
    <row r="1" spans="1:11" ht="18.75" x14ac:dyDescent="0.25">
      <c r="A1" s="207" t="s">
        <v>522</v>
      </c>
      <c r="B1" s="207"/>
      <c r="C1" s="207"/>
      <c r="D1" s="207"/>
      <c r="E1" s="207"/>
      <c r="F1" s="207"/>
      <c r="G1" s="207"/>
      <c r="H1" s="207"/>
      <c r="I1" s="207"/>
      <c r="J1" s="207"/>
      <c r="K1" s="207"/>
    </row>
    <row r="2" spans="1:11" x14ac:dyDescent="0.25">
      <c r="A2" s="62" t="s">
        <v>399</v>
      </c>
      <c r="B2" s="63"/>
      <c r="C2" s="63"/>
      <c r="D2" s="208" t="s">
        <v>401</v>
      </c>
      <c r="E2" s="208"/>
      <c r="F2" s="208"/>
      <c r="G2" s="208"/>
      <c r="H2" s="208"/>
      <c r="I2" s="208"/>
      <c r="J2" s="208"/>
      <c r="K2" s="208"/>
    </row>
    <row r="3" spans="1:11" x14ac:dyDescent="0.25">
      <c r="A3" s="62" t="s">
        <v>399</v>
      </c>
      <c r="B3" s="63"/>
      <c r="C3" s="63"/>
      <c r="D3" s="208"/>
      <c r="E3" s="208"/>
      <c r="F3" s="208"/>
      <c r="G3" s="208"/>
      <c r="H3" s="208"/>
      <c r="I3" s="208"/>
      <c r="J3" s="208"/>
      <c r="K3" s="208"/>
    </row>
    <row r="4" spans="1:11" ht="18.75" x14ac:dyDescent="0.3">
      <c r="A4" s="62"/>
      <c r="B4" s="63" t="s">
        <v>399</v>
      </c>
      <c r="C4" s="63"/>
      <c r="D4" s="209" t="s">
        <v>521</v>
      </c>
      <c r="E4" s="209"/>
      <c r="F4" s="209"/>
      <c r="G4" s="209"/>
      <c r="H4" s="210" t="s">
        <v>402</v>
      </c>
      <c r="I4" s="211"/>
      <c r="J4" s="212" t="s">
        <v>403</v>
      </c>
      <c r="K4" s="212"/>
    </row>
    <row r="5" spans="1:11" x14ac:dyDescent="0.25">
      <c r="A5" s="62"/>
      <c r="B5" s="63"/>
      <c r="C5" s="63"/>
      <c r="D5" s="78">
        <v>1</v>
      </c>
      <c r="E5" s="78">
        <v>2</v>
      </c>
      <c r="F5" s="78">
        <v>3</v>
      </c>
      <c r="G5" s="78">
        <v>4</v>
      </c>
      <c r="H5" s="79">
        <v>5</v>
      </c>
      <c r="I5" s="79">
        <v>6</v>
      </c>
      <c r="J5" s="42">
        <v>7</v>
      </c>
      <c r="K5" s="42">
        <v>8</v>
      </c>
    </row>
    <row r="6" spans="1:11" ht="64.5" x14ac:dyDescent="0.25">
      <c r="A6" s="21" t="s">
        <v>405</v>
      </c>
      <c r="B6" s="21" t="s">
        <v>404</v>
      </c>
      <c r="C6" s="22" t="s">
        <v>1</v>
      </c>
      <c r="D6" s="127" t="s">
        <v>446</v>
      </c>
      <c r="E6" s="127" t="s">
        <v>447</v>
      </c>
      <c r="F6" s="139" t="s">
        <v>457</v>
      </c>
      <c r="G6" s="139" t="s">
        <v>458</v>
      </c>
      <c r="H6" s="127" t="s">
        <v>502</v>
      </c>
      <c r="I6" s="124" t="s">
        <v>459</v>
      </c>
      <c r="J6" s="125" t="s">
        <v>460</v>
      </c>
      <c r="K6" s="127" t="s">
        <v>483</v>
      </c>
    </row>
    <row r="7" spans="1:11" x14ac:dyDescent="0.25">
      <c r="A7" s="3" t="s">
        <v>426</v>
      </c>
      <c r="B7" s="2">
        <v>215</v>
      </c>
      <c r="C7" s="2">
        <v>437</v>
      </c>
      <c r="D7" s="5">
        <v>42</v>
      </c>
      <c r="E7" s="75">
        <f>'Specialist Additive'!U6/D7</f>
        <v>0.5</v>
      </c>
      <c r="F7" s="34">
        <v>0.42259999999999998</v>
      </c>
      <c r="G7" s="34">
        <v>0.8931</v>
      </c>
      <c r="H7" s="74">
        <v>2.34</v>
      </c>
      <c r="I7" s="73">
        <f>(40-3)/107</f>
        <v>0.34579439252336447</v>
      </c>
      <c r="J7" s="73">
        <f>67/107</f>
        <v>0.62616822429906538</v>
      </c>
      <c r="K7" s="74">
        <v>113</v>
      </c>
    </row>
    <row r="8" spans="1:11" x14ac:dyDescent="0.25">
      <c r="A8" s="3" t="s">
        <v>8</v>
      </c>
      <c r="B8" s="2">
        <v>215</v>
      </c>
      <c r="C8" s="2">
        <v>54</v>
      </c>
      <c r="D8" s="5">
        <v>2</v>
      </c>
      <c r="E8" s="75">
        <f>'Specialist Additive'!U7/D8</f>
        <v>0</v>
      </c>
      <c r="F8" s="34">
        <v>0.58819999999999995</v>
      </c>
      <c r="G8" s="34">
        <v>0.9</v>
      </c>
      <c r="H8" s="74">
        <v>0.62</v>
      </c>
      <c r="I8" s="73">
        <f>(2-0)/10</f>
        <v>0.2</v>
      </c>
      <c r="J8" s="73">
        <f>8/10</f>
        <v>0.8</v>
      </c>
      <c r="K8" s="74">
        <v>51</v>
      </c>
    </row>
    <row r="9" spans="1:11" x14ac:dyDescent="0.25">
      <c r="A9" s="3" t="s">
        <v>12</v>
      </c>
      <c r="B9" s="2">
        <v>215</v>
      </c>
      <c r="C9" s="2">
        <v>80</v>
      </c>
      <c r="D9" s="5">
        <v>0</v>
      </c>
      <c r="E9" s="75">
        <v>0</v>
      </c>
      <c r="F9" s="34">
        <v>0</v>
      </c>
      <c r="G9" s="34">
        <v>0</v>
      </c>
      <c r="H9" s="74" t="s">
        <v>451</v>
      </c>
      <c r="I9" s="73">
        <f>(3-0)/5</f>
        <v>0.6</v>
      </c>
      <c r="J9" s="73">
        <f>2/5</f>
        <v>0.4</v>
      </c>
      <c r="K9" s="74">
        <v>1</v>
      </c>
    </row>
    <row r="10" spans="1:11" x14ac:dyDescent="0.25">
      <c r="A10" s="3" t="s">
        <v>14</v>
      </c>
      <c r="B10" s="2">
        <v>215</v>
      </c>
      <c r="C10" s="2">
        <v>91</v>
      </c>
      <c r="D10" s="5">
        <v>32</v>
      </c>
      <c r="E10" s="75">
        <f>'Specialist Additive'!U9/D10</f>
        <v>0.28125</v>
      </c>
      <c r="F10" s="34">
        <v>0.84209999999999996</v>
      </c>
      <c r="G10" s="34">
        <v>0.625</v>
      </c>
      <c r="H10" s="74">
        <v>2.62</v>
      </c>
      <c r="I10" s="73">
        <f>(14-1)/44</f>
        <v>0.29545454545454547</v>
      </c>
      <c r="J10" s="73">
        <f>30/44</f>
        <v>0.68181818181818177</v>
      </c>
      <c r="K10" s="74">
        <v>58</v>
      </c>
    </row>
    <row r="11" spans="1:11" x14ac:dyDescent="0.25">
      <c r="A11" s="3" t="s">
        <v>16</v>
      </c>
      <c r="B11" s="2">
        <v>215</v>
      </c>
      <c r="C11" s="2">
        <v>98</v>
      </c>
      <c r="D11" s="5">
        <v>51</v>
      </c>
      <c r="E11" s="75">
        <f>'Specialist Additive'!U10/D11</f>
        <v>0.29411764705882354</v>
      </c>
      <c r="F11" s="34">
        <v>0.70209999999999995</v>
      </c>
      <c r="G11" s="34">
        <v>0.60609999999999997</v>
      </c>
      <c r="H11" s="74">
        <v>2.38</v>
      </c>
      <c r="I11" s="73">
        <f>(11-3)/60</f>
        <v>0.13333333333333333</v>
      </c>
      <c r="J11" s="73">
        <f>49/60</f>
        <v>0.81666666666666665</v>
      </c>
      <c r="K11" s="74">
        <v>77</v>
      </c>
    </row>
    <row r="12" spans="1:11" x14ac:dyDescent="0.25">
      <c r="A12" s="3" t="s">
        <v>18</v>
      </c>
      <c r="B12" s="2">
        <v>215</v>
      </c>
      <c r="C12" s="2">
        <v>122</v>
      </c>
      <c r="D12" s="5">
        <v>0</v>
      </c>
      <c r="E12" s="75">
        <v>0</v>
      </c>
      <c r="F12" s="34">
        <v>0</v>
      </c>
      <c r="G12" s="34">
        <v>0</v>
      </c>
      <c r="H12" s="74" t="s">
        <v>451</v>
      </c>
      <c r="I12" s="73" t="s">
        <v>451</v>
      </c>
      <c r="J12" s="73" t="s">
        <v>451</v>
      </c>
      <c r="K12" s="74">
        <v>0</v>
      </c>
    </row>
    <row r="13" spans="1:11" x14ac:dyDescent="0.25">
      <c r="A13" s="3" t="s">
        <v>20</v>
      </c>
      <c r="B13" s="2">
        <v>215</v>
      </c>
      <c r="C13" s="2">
        <v>124</v>
      </c>
      <c r="D13" s="5">
        <v>21</v>
      </c>
      <c r="E13" s="75">
        <f>'Specialist Additive'!U12/D13</f>
        <v>0.2857142857142857</v>
      </c>
      <c r="F13" s="34">
        <v>0.871</v>
      </c>
      <c r="G13" s="34">
        <v>0.66669999999999996</v>
      </c>
      <c r="H13" s="74">
        <v>2.39</v>
      </c>
      <c r="I13" s="73">
        <f>(3-0)/47</f>
        <v>6.3829787234042548E-2</v>
      </c>
      <c r="J13" s="73">
        <f>44/47</f>
        <v>0.93617021276595747</v>
      </c>
      <c r="K13" s="74">
        <v>70</v>
      </c>
    </row>
    <row r="14" spans="1:11" x14ac:dyDescent="0.25">
      <c r="A14" s="3" t="s">
        <v>22</v>
      </c>
      <c r="B14" s="2">
        <v>215</v>
      </c>
      <c r="C14" s="2">
        <v>125</v>
      </c>
      <c r="D14" s="5">
        <v>26</v>
      </c>
      <c r="E14" s="75">
        <f>'Specialist Additive'!U13/D14</f>
        <v>0.30769230769230771</v>
      </c>
      <c r="F14" s="34">
        <v>0.32990000000000003</v>
      </c>
      <c r="G14" s="34">
        <v>0.56920000000000004</v>
      </c>
      <c r="H14" s="74">
        <v>3.02</v>
      </c>
      <c r="I14" s="73">
        <f>(5-4)/21</f>
        <v>4.7619047619047616E-2</v>
      </c>
      <c r="J14" s="73">
        <f>16/21</f>
        <v>0.76190476190476186</v>
      </c>
      <c r="K14" s="74">
        <v>26</v>
      </c>
    </row>
    <row r="15" spans="1:11" x14ac:dyDescent="0.25">
      <c r="A15" s="3" t="s">
        <v>24</v>
      </c>
      <c r="B15" s="2">
        <v>215</v>
      </c>
      <c r="C15" s="2">
        <v>131</v>
      </c>
      <c r="D15" s="5">
        <v>3</v>
      </c>
      <c r="E15" s="75">
        <f>'Specialist Additive'!U14/D15</f>
        <v>0.33333333333333331</v>
      </c>
      <c r="F15" s="34">
        <v>0.57140000000000002</v>
      </c>
      <c r="G15" s="34">
        <v>0.9375</v>
      </c>
      <c r="H15" s="74">
        <v>2.02</v>
      </c>
      <c r="I15" s="73">
        <f>(21-1)/31</f>
        <v>0.64516129032258063</v>
      </c>
      <c r="J15" s="73">
        <f>10/31</f>
        <v>0.32258064516129031</v>
      </c>
      <c r="K15" s="74">
        <v>16</v>
      </c>
    </row>
    <row r="16" spans="1:11" x14ac:dyDescent="0.25">
      <c r="A16" s="3" t="s">
        <v>138</v>
      </c>
      <c r="B16" s="2">
        <v>215</v>
      </c>
      <c r="C16" s="2">
        <v>133</v>
      </c>
      <c r="D16" s="5">
        <v>0</v>
      </c>
      <c r="E16" s="75">
        <v>0</v>
      </c>
      <c r="F16" s="34">
        <v>0</v>
      </c>
      <c r="G16" s="34">
        <v>0</v>
      </c>
      <c r="H16" s="74" t="s">
        <v>451</v>
      </c>
      <c r="I16" s="73" t="s">
        <v>451</v>
      </c>
      <c r="J16" s="73" t="s">
        <v>451</v>
      </c>
      <c r="K16" s="74">
        <v>0</v>
      </c>
    </row>
  </sheetData>
  <sheetProtection password="EC77" sheet="1" objects="1" scenarios="1"/>
  <mergeCells count="5">
    <mergeCell ref="A1:K1"/>
    <mergeCell ref="D2:K3"/>
    <mergeCell ref="D4:G4"/>
    <mergeCell ref="H4:I4"/>
    <mergeCell ref="J4:K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
  <sheetViews>
    <sheetView zoomScaleNormal="100" workbookViewId="0">
      <pane ySplit="6" topLeftCell="A76" activePane="bottomLeft" state="frozen"/>
      <selection pane="bottomLeft" sqref="A1:L1"/>
    </sheetView>
  </sheetViews>
  <sheetFormatPr defaultRowHeight="15" x14ac:dyDescent="0.25"/>
  <cols>
    <col min="1" max="1" width="30.5703125" customWidth="1"/>
    <col min="2" max="2" width="29.42578125" customWidth="1"/>
    <col min="3" max="3" width="7.140625" customWidth="1"/>
    <col min="4" max="4" width="7.28515625" customWidth="1"/>
    <col min="5" max="5" width="15.85546875" style="50" customWidth="1"/>
    <col min="6" max="6" width="12.28515625" bestFit="1" customWidth="1"/>
    <col min="7" max="7" width="17.42578125" customWidth="1"/>
    <col min="8" max="8" width="16.85546875" customWidth="1"/>
    <col min="9" max="9" width="14.42578125" bestFit="1" customWidth="1"/>
    <col min="10" max="10" width="14" customWidth="1"/>
    <col min="11" max="11" width="14.85546875" customWidth="1"/>
    <col min="12" max="12" width="16" style="50" customWidth="1"/>
  </cols>
  <sheetData>
    <row r="1" spans="1:12" ht="18.75" x14ac:dyDescent="0.25">
      <c r="A1" s="191" t="s">
        <v>539</v>
      </c>
      <c r="B1" s="192"/>
      <c r="C1" s="192"/>
      <c r="D1" s="192"/>
      <c r="E1" s="192"/>
      <c r="F1" s="192"/>
      <c r="G1" s="192"/>
      <c r="H1" s="192"/>
      <c r="I1" s="192"/>
      <c r="J1" s="192"/>
      <c r="K1" s="192"/>
      <c r="L1" s="193"/>
    </row>
    <row r="2" spans="1:12" x14ac:dyDescent="0.25">
      <c r="A2" s="82" t="s">
        <v>399</v>
      </c>
      <c r="B2" s="40"/>
      <c r="C2" s="80"/>
      <c r="D2" s="80"/>
      <c r="E2" s="194" t="s">
        <v>401</v>
      </c>
      <c r="F2" s="195"/>
      <c r="G2" s="195"/>
      <c r="H2" s="195"/>
      <c r="I2" s="195"/>
      <c r="J2" s="195"/>
      <c r="K2" s="195"/>
      <c r="L2" s="196"/>
    </row>
    <row r="3" spans="1:12" x14ac:dyDescent="0.25">
      <c r="A3" s="82" t="s">
        <v>399</v>
      </c>
      <c r="B3" s="40"/>
      <c r="C3" s="80"/>
      <c r="D3" s="80"/>
      <c r="E3" s="197"/>
      <c r="F3" s="198"/>
      <c r="G3" s="198"/>
      <c r="H3" s="198"/>
      <c r="I3" s="198"/>
      <c r="J3" s="198"/>
      <c r="K3" s="198"/>
      <c r="L3" s="199"/>
    </row>
    <row r="4" spans="1:12" ht="18.75" x14ac:dyDescent="0.3">
      <c r="A4" s="82"/>
      <c r="B4" s="40"/>
      <c r="C4" s="80" t="s">
        <v>399</v>
      </c>
      <c r="D4" s="80"/>
      <c r="E4" s="200" t="s">
        <v>521</v>
      </c>
      <c r="F4" s="201"/>
      <c r="G4" s="201"/>
      <c r="H4" s="202"/>
      <c r="I4" s="203" t="s">
        <v>402</v>
      </c>
      <c r="J4" s="204"/>
      <c r="K4" s="205" t="s">
        <v>403</v>
      </c>
      <c r="L4" s="206"/>
    </row>
    <row r="5" spans="1:12" x14ac:dyDescent="0.25">
      <c r="A5" s="83"/>
      <c r="B5" s="41"/>
      <c r="C5" s="81"/>
      <c r="D5" s="81"/>
      <c r="E5" s="78">
        <v>1</v>
      </c>
      <c r="F5" s="78">
        <v>2</v>
      </c>
      <c r="G5" s="78">
        <v>3</v>
      </c>
      <c r="H5" s="78">
        <v>4</v>
      </c>
      <c r="I5" s="79">
        <v>5</v>
      </c>
      <c r="J5" s="79">
        <v>6</v>
      </c>
      <c r="K5" s="42">
        <v>7</v>
      </c>
      <c r="L5" s="42">
        <v>8</v>
      </c>
    </row>
    <row r="6" spans="1:12" ht="64.5" x14ac:dyDescent="0.25">
      <c r="A6" s="21" t="s">
        <v>408</v>
      </c>
      <c r="B6" s="21" t="s">
        <v>0</v>
      </c>
      <c r="C6" s="21" t="s">
        <v>404</v>
      </c>
      <c r="D6" s="22" t="s">
        <v>1</v>
      </c>
      <c r="E6" s="127" t="s">
        <v>446</v>
      </c>
      <c r="F6" s="127" t="s">
        <v>447</v>
      </c>
      <c r="G6" s="139" t="s">
        <v>457</v>
      </c>
      <c r="H6" s="139" t="s">
        <v>458</v>
      </c>
      <c r="I6" s="127" t="s">
        <v>531</v>
      </c>
      <c r="J6" s="124" t="s">
        <v>459</v>
      </c>
      <c r="K6" s="125" t="s">
        <v>460</v>
      </c>
      <c r="L6" s="127" t="s">
        <v>483</v>
      </c>
    </row>
    <row r="7" spans="1:12" x14ac:dyDescent="0.25">
      <c r="A7" s="3" t="s">
        <v>174</v>
      </c>
      <c r="B7" s="3" t="s">
        <v>159</v>
      </c>
      <c r="C7" s="2">
        <v>216</v>
      </c>
      <c r="D7" s="2">
        <v>331</v>
      </c>
      <c r="E7" s="104">
        <v>4</v>
      </c>
      <c r="F7" s="75">
        <f>'Masters (1 yr) Additive'!V6/E7</f>
        <v>0.25</v>
      </c>
      <c r="G7" s="34">
        <v>0.47760000000000002</v>
      </c>
      <c r="H7" s="34">
        <v>0.4098</v>
      </c>
      <c r="I7" s="104">
        <v>2.46</v>
      </c>
      <c r="J7" s="75">
        <f>(1-0)/1</f>
        <v>1</v>
      </c>
      <c r="K7" s="75">
        <f>0/1</f>
        <v>0</v>
      </c>
      <c r="L7" s="74">
        <v>4</v>
      </c>
    </row>
    <row r="8" spans="1:12" x14ac:dyDescent="0.25">
      <c r="A8" s="3" t="s">
        <v>174</v>
      </c>
      <c r="B8" s="3" t="s">
        <v>238</v>
      </c>
      <c r="C8" s="2">
        <v>216</v>
      </c>
      <c r="D8" s="2">
        <v>331</v>
      </c>
      <c r="E8" s="104">
        <v>40</v>
      </c>
      <c r="F8" s="75">
        <f>'Masters (1 yr) Additive'!V7/E8</f>
        <v>0.25</v>
      </c>
      <c r="G8" s="34">
        <v>0.47760000000000002</v>
      </c>
      <c r="H8" s="34">
        <v>0.4098</v>
      </c>
      <c r="I8" s="104">
        <v>1.77</v>
      </c>
      <c r="J8" s="75">
        <f>(21-2)/67</f>
        <v>0.28358208955223879</v>
      </c>
      <c r="K8" s="75">
        <f>46/67</f>
        <v>0.68656716417910446</v>
      </c>
      <c r="L8" s="74">
        <v>110</v>
      </c>
    </row>
    <row r="9" spans="1:12" x14ac:dyDescent="0.25">
      <c r="A9" s="3" t="s">
        <v>176</v>
      </c>
      <c r="B9" s="3" t="s">
        <v>159</v>
      </c>
      <c r="C9" s="2">
        <v>216</v>
      </c>
      <c r="D9" s="2">
        <v>332</v>
      </c>
      <c r="E9" s="104">
        <v>3</v>
      </c>
      <c r="F9" s="75">
        <f>'Masters (1 yr) Additive'!V8/E9</f>
        <v>0</v>
      </c>
      <c r="G9" s="43">
        <v>0.38529999999999998</v>
      </c>
      <c r="H9" s="43">
        <v>0.78569999999999995</v>
      </c>
      <c r="I9" s="104">
        <v>1.97</v>
      </c>
      <c r="J9" s="75">
        <f>(7-2)/28</f>
        <v>0.17857142857142858</v>
      </c>
      <c r="K9" s="75">
        <f>21/28</f>
        <v>0.75</v>
      </c>
      <c r="L9" s="179">
        <v>29</v>
      </c>
    </row>
    <row r="10" spans="1:12" x14ac:dyDescent="0.25">
      <c r="A10" s="3" t="s">
        <v>176</v>
      </c>
      <c r="B10" s="3" t="s">
        <v>238</v>
      </c>
      <c r="C10" s="2">
        <v>211</v>
      </c>
      <c r="D10" s="2">
        <v>332</v>
      </c>
      <c r="E10" s="104">
        <v>7</v>
      </c>
      <c r="F10" s="75">
        <f>'Masters (1 yr) Additive'!V9/E10</f>
        <v>0</v>
      </c>
      <c r="G10" s="34">
        <v>0.40679999999999999</v>
      </c>
      <c r="H10" s="34">
        <v>0.875</v>
      </c>
      <c r="I10" s="104">
        <v>2.35</v>
      </c>
      <c r="J10" s="75">
        <f>(4-1)/13</f>
        <v>0.23076923076923078</v>
      </c>
      <c r="K10" s="75">
        <f>9/13</f>
        <v>0.69230769230769229</v>
      </c>
      <c r="L10" s="179">
        <v>13</v>
      </c>
    </row>
    <row r="11" spans="1:12" x14ac:dyDescent="0.25">
      <c r="A11" s="3" t="s">
        <v>176</v>
      </c>
      <c r="B11" s="3" t="s">
        <v>238</v>
      </c>
      <c r="C11" s="2">
        <v>216</v>
      </c>
      <c r="D11" s="2">
        <v>332</v>
      </c>
      <c r="E11" s="104">
        <v>5</v>
      </c>
      <c r="F11" s="75">
        <f>'Masters (1 yr) Additive'!V10/E11</f>
        <v>0.2</v>
      </c>
      <c r="G11" s="34">
        <v>0.38529999999999998</v>
      </c>
      <c r="H11" s="34">
        <v>0.78569999999999995</v>
      </c>
      <c r="I11" s="104">
        <v>2.39</v>
      </c>
      <c r="J11" s="75">
        <f>(2-0)/17</f>
        <v>0.11764705882352941</v>
      </c>
      <c r="K11" s="75">
        <f>15/17</f>
        <v>0.88235294117647056</v>
      </c>
      <c r="L11" s="74">
        <v>24</v>
      </c>
    </row>
    <row r="12" spans="1:12" x14ac:dyDescent="0.25">
      <c r="A12" s="3" t="s">
        <v>282</v>
      </c>
      <c r="B12" s="3" t="s">
        <v>238</v>
      </c>
      <c r="C12" s="2">
        <v>211</v>
      </c>
      <c r="D12" s="2">
        <v>333</v>
      </c>
      <c r="E12" s="104">
        <v>37</v>
      </c>
      <c r="F12" s="75">
        <f>'Masters (1 yr) Additive'!V11/E12</f>
        <v>0.13513513513513514</v>
      </c>
      <c r="G12" s="34">
        <v>0.73329999999999995</v>
      </c>
      <c r="H12" s="34">
        <v>0.80420000000000003</v>
      </c>
      <c r="I12" s="104">
        <v>1.96</v>
      </c>
      <c r="J12" s="75">
        <f>(7-0)/56</f>
        <v>0.125</v>
      </c>
      <c r="K12" s="75">
        <f>49/56</f>
        <v>0.875</v>
      </c>
      <c r="L12" s="74">
        <v>95</v>
      </c>
    </row>
    <row r="13" spans="1:12" x14ac:dyDescent="0.25">
      <c r="A13" s="3" t="s">
        <v>284</v>
      </c>
      <c r="B13" s="3" t="s">
        <v>238</v>
      </c>
      <c r="C13" s="2">
        <v>211</v>
      </c>
      <c r="D13" s="2">
        <v>334</v>
      </c>
      <c r="E13" s="104">
        <v>22</v>
      </c>
      <c r="F13" s="75">
        <f>'Masters (1 yr) Additive'!V12/E13</f>
        <v>4.5454545454545456E-2</v>
      </c>
      <c r="G13" s="34">
        <v>0.5806</v>
      </c>
      <c r="H13" s="34">
        <v>0.83330000000000004</v>
      </c>
      <c r="I13" s="104">
        <v>2.35</v>
      </c>
      <c r="J13" s="75">
        <f>(3-0)/25</f>
        <v>0.12</v>
      </c>
      <c r="K13" s="75">
        <f>22/25</f>
        <v>0.88</v>
      </c>
      <c r="L13" s="74">
        <v>34</v>
      </c>
    </row>
    <row r="14" spans="1:12" x14ac:dyDescent="0.25">
      <c r="A14" s="3" t="s">
        <v>310</v>
      </c>
      <c r="B14" s="3" t="s">
        <v>238</v>
      </c>
      <c r="C14" s="2">
        <v>211</v>
      </c>
      <c r="D14" s="2">
        <v>474</v>
      </c>
      <c r="E14" s="104">
        <v>4</v>
      </c>
      <c r="F14" s="75">
        <f>'Masters (1 yr) Additive'!V13/E14</f>
        <v>0</v>
      </c>
      <c r="G14" s="34">
        <v>0.13039999999999999</v>
      </c>
      <c r="H14" s="34">
        <v>1</v>
      </c>
      <c r="I14" s="104">
        <v>1.34</v>
      </c>
      <c r="J14" s="75">
        <f>(1-0)/5</f>
        <v>0.2</v>
      </c>
      <c r="K14" s="75">
        <f>4/5</f>
        <v>0.8</v>
      </c>
      <c r="L14" s="74">
        <v>6</v>
      </c>
    </row>
    <row r="15" spans="1:12" x14ac:dyDescent="0.25">
      <c r="A15" s="3" t="s">
        <v>286</v>
      </c>
      <c r="B15" s="3" t="s">
        <v>238</v>
      </c>
      <c r="C15" s="2">
        <v>211</v>
      </c>
      <c r="D15" s="2">
        <v>335</v>
      </c>
      <c r="E15" s="104">
        <v>28</v>
      </c>
      <c r="F15" s="75">
        <f>'Masters (1 yr) Additive'!V14/E15</f>
        <v>0.21428571428571427</v>
      </c>
      <c r="G15" s="34">
        <v>0.42370000000000002</v>
      </c>
      <c r="H15" s="34">
        <v>0.9</v>
      </c>
      <c r="I15" s="104">
        <v>2.0299999999999998</v>
      </c>
      <c r="J15" s="75">
        <f>(5-0)/38</f>
        <v>0.13157894736842105</v>
      </c>
      <c r="K15" s="75">
        <f>33/38</f>
        <v>0.86842105263157898</v>
      </c>
      <c r="L15" s="74">
        <v>77</v>
      </c>
    </row>
    <row r="16" spans="1:12" x14ac:dyDescent="0.25">
      <c r="A16" s="3" t="s">
        <v>104</v>
      </c>
      <c r="B16" s="3" t="s">
        <v>64</v>
      </c>
      <c r="C16" s="2">
        <v>222</v>
      </c>
      <c r="D16" s="2">
        <v>336</v>
      </c>
      <c r="E16" s="104">
        <v>33</v>
      </c>
      <c r="F16" s="75">
        <f>'Masters (1 yr) Additive'!V15/E16</f>
        <v>0.15151515151515152</v>
      </c>
      <c r="G16" s="34">
        <v>0.219</v>
      </c>
      <c r="H16" s="34">
        <v>0.52629999999999999</v>
      </c>
      <c r="I16" s="104">
        <v>2.39</v>
      </c>
      <c r="J16" s="75">
        <f>(7-4)/54</f>
        <v>5.5555555555555552E-2</v>
      </c>
      <c r="K16" s="75">
        <f>47/54</f>
        <v>0.87037037037037035</v>
      </c>
      <c r="L16" s="74">
        <v>69</v>
      </c>
    </row>
    <row r="17" spans="1:12" x14ac:dyDescent="0.25">
      <c r="A17" s="3" t="s">
        <v>302</v>
      </c>
      <c r="B17" s="3" t="s">
        <v>238</v>
      </c>
      <c r="C17" s="2">
        <v>218</v>
      </c>
      <c r="D17" s="2">
        <v>466</v>
      </c>
      <c r="E17" s="104">
        <v>41</v>
      </c>
      <c r="F17" s="75">
        <f>'Masters (1 yr) Additive'!V16/E17</f>
        <v>7.3170731707317069E-2</v>
      </c>
      <c r="G17" s="34">
        <v>0.23269999999999999</v>
      </c>
      <c r="H17" s="34">
        <v>0.6915</v>
      </c>
      <c r="I17" s="104">
        <v>1.77</v>
      </c>
      <c r="J17" s="75">
        <f>(7-1)/97</f>
        <v>6.1855670103092786E-2</v>
      </c>
      <c r="K17" s="75">
        <f>90/97</f>
        <v>0.92783505154639179</v>
      </c>
      <c r="L17" s="74">
        <v>141</v>
      </c>
    </row>
    <row r="18" spans="1:12" x14ac:dyDescent="0.25">
      <c r="A18" s="3" t="s">
        <v>106</v>
      </c>
      <c r="B18" s="3" t="s">
        <v>64</v>
      </c>
      <c r="C18" s="2">
        <v>217</v>
      </c>
      <c r="D18" s="2">
        <v>339</v>
      </c>
      <c r="E18" s="104">
        <v>0</v>
      </c>
      <c r="F18" s="75">
        <v>0</v>
      </c>
      <c r="G18" s="34">
        <v>0.20780000000000001</v>
      </c>
      <c r="H18" s="34">
        <v>0.69920000000000004</v>
      </c>
      <c r="I18" s="104" t="s">
        <v>451</v>
      </c>
      <c r="J18" s="73" t="s">
        <v>451</v>
      </c>
      <c r="K18" s="73" t="s">
        <v>451</v>
      </c>
      <c r="L18" s="74">
        <v>0</v>
      </c>
    </row>
    <row r="19" spans="1:12" x14ac:dyDescent="0.25">
      <c r="A19" s="3" t="s">
        <v>108</v>
      </c>
      <c r="B19" s="3" t="s">
        <v>64</v>
      </c>
      <c r="C19" s="2">
        <v>217</v>
      </c>
      <c r="D19" s="2">
        <v>340</v>
      </c>
      <c r="E19" s="104">
        <v>97</v>
      </c>
      <c r="F19" s="75">
        <f>'Masters (1 yr) Additive'!V18/E19</f>
        <v>0.15463917525773196</v>
      </c>
      <c r="G19" s="34">
        <v>0.73219999999999996</v>
      </c>
      <c r="H19" s="34">
        <v>0.80220000000000002</v>
      </c>
      <c r="I19" s="104">
        <v>1.96</v>
      </c>
      <c r="J19" s="75">
        <f>(1-0)/6</f>
        <v>0.16666666666666666</v>
      </c>
      <c r="K19" s="75">
        <f>5/6</f>
        <v>0.83333333333333337</v>
      </c>
      <c r="L19" s="74">
        <v>57</v>
      </c>
    </row>
    <row r="20" spans="1:12" x14ac:dyDescent="0.25">
      <c r="A20" s="3" t="s">
        <v>110</v>
      </c>
      <c r="B20" s="3" t="s">
        <v>64</v>
      </c>
      <c r="C20" s="2">
        <v>217</v>
      </c>
      <c r="D20" s="2">
        <v>341</v>
      </c>
      <c r="E20" s="104">
        <v>11</v>
      </c>
      <c r="F20" s="75">
        <f>'Masters (1 yr) Additive'!V19/E20</f>
        <v>0.27272727272727271</v>
      </c>
      <c r="G20" s="34">
        <v>0.4859</v>
      </c>
      <c r="H20" s="34">
        <v>0.44929999999999998</v>
      </c>
      <c r="I20" s="104">
        <v>2.04</v>
      </c>
      <c r="J20" s="75">
        <f>(4-0)/13</f>
        <v>0.30769230769230771</v>
      </c>
      <c r="K20" s="75">
        <f>9/13</f>
        <v>0.69230769230769229</v>
      </c>
      <c r="L20" s="74">
        <v>23</v>
      </c>
    </row>
    <row r="21" spans="1:12" x14ac:dyDescent="0.25">
      <c r="A21" s="3" t="s">
        <v>288</v>
      </c>
      <c r="B21" s="3" t="s">
        <v>238</v>
      </c>
      <c r="C21" s="2">
        <v>222</v>
      </c>
      <c r="D21" s="2">
        <v>342</v>
      </c>
      <c r="E21" s="104">
        <v>12</v>
      </c>
      <c r="F21" s="75">
        <f>'Masters (1 yr) Additive'!V20/E21</f>
        <v>8.3333333333333329E-2</v>
      </c>
      <c r="G21" s="34">
        <v>0.125</v>
      </c>
      <c r="H21" s="34">
        <v>0.5</v>
      </c>
      <c r="I21" s="104">
        <v>0.93</v>
      </c>
      <c r="J21" s="75">
        <f>(0-0)/11</f>
        <v>0</v>
      </c>
      <c r="K21" s="75">
        <f>11/11</f>
        <v>1</v>
      </c>
      <c r="L21" s="74">
        <v>24</v>
      </c>
    </row>
    <row r="22" spans="1:12" x14ac:dyDescent="0.25">
      <c r="A22" s="3" t="s">
        <v>290</v>
      </c>
      <c r="B22" s="3" t="s">
        <v>238</v>
      </c>
      <c r="C22" s="2">
        <v>223</v>
      </c>
      <c r="D22" s="2">
        <v>344</v>
      </c>
      <c r="E22" s="104">
        <v>0</v>
      </c>
      <c r="F22" s="75">
        <v>0</v>
      </c>
      <c r="G22" s="34">
        <v>3.5099999999999999E-2</v>
      </c>
      <c r="H22" s="34">
        <v>1</v>
      </c>
      <c r="I22" s="104">
        <v>0.76</v>
      </c>
      <c r="J22" s="75">
        <f>(0-0)/2</f>
        <v>0</v>
      </c>
      <c r="K22" s="75">
        <f>2/2</f>
        <v>1</v>
      </c>
      <c r="L22" s="74">
        <v>5</v>
      </c>
    </row>
    <row r="23" spans="1:12" x14ac:dyDescent="0.25">
      <c r="A23" s="3" t="s">
        <v>178</v>
      </c>
      <c r="B23" s="3" t="s">
        <v>159</v>
      </c>
      <c r="C23" s="2">
        <v>216</v>
      </c>
      <c r="D23" s="2">
        <v>345</v>
      </c>
      <c r="E23" s="104">
        <v>2</v>
      </c>
      <c r="F23" s="75">
        <f>'Masters (1 yr) Additive'!V22/E23</f>
        <v>0</v>
      </c>
      <c r="G23" s="34">
        <v>0.42880000000000001</v>
      </c>
      <c r="H23" s="34">
        <v>0.43980000000000002</v>
      </c>
      <c r="I23" s="104">
        <v>1.02</v>
      </c>
      <c r="J23" s="75">
        <f>(0-0)/10</f>
        <v>0</v>
      </c>
      <c r="K23" s="75">
        <f>10/10</f>
        <v>1</v>
      </c>
      <c r="L23" s="74">
        <v>10</v>
      </c>
    </row>
    <row r="24" spans="1:12" x14ac:dyDescent="0.25">
      <c r="A24" s="3" t="s">
        <v>178</v>
      </c>
      <c r="B24" s="3" t="s">
        <v>238</v>
      </c>
      <c r="C24" s="2">
        <v>216</v>
      </c>
      <c r="D24" s="2">
        <v>345</v>
      </c>
      <c r="E24" s="104">
        <v>57</v>
      </c>
      <c r="F24" s="75">
        <f>'Masters (1 yr) Additive'!V23/E24</f>
        <v>0.12280701754385964</v>
      </c>
      <c r="G24" s="34">
        <v>0.42880000000000001</v>
      </c>
      <c r="H24" s="34">
        <v>0.43980000000000002</v>
      </c>
      <c r="I24" s="104">
        <v>1.64</v>
      </c>
      <c r="J24" s="75">
        <f>(3-0)/46</f>
        <v>6.5217391304347824E-2</v>
      </c>
      <c r="K24" s="75">
        <f>43/46</f>
        <v>0.93478260869565222</v>
      </c>
      <c r="L24" s="74">
        <v>100</v>
      </c>
    </row>
    <row r="25" spans="1:12" x14ac:dyDescent="0.25">
      <c r="A25" s="3" t="s">
        <v>292</v>
      </c>
      <c r="B25" s="3" t="s">
        <v>238</v>
      </c>
      <c r="C25" s="2">
        <v>211</v>
      </c>
      <c r="D25" s="2">
        <v>346</v>
      </c>
      <c r="E25" s="104">
        <v>0</v>
      </c>
      <c r="F25" s="75">
        <v>0</v>
      </c>
      <c r="G25" s="34">
        <v>0</v>
      </c>
      <c r="H25" s="34">
        <v>0</v>
      </c>
      <c r="I25" s="104" t="s">
        <v>451</v>
      </c>
      <c r="J25" s="84" t="s">
        <v>451</v>
      </c>
      <c r="K25" s="84" t="s">
        <v>451</v>
      </c>
      <c r="L25" s="74">
        <v>0</v>
      </c>
    </row>
    <row r="26" spans="1:12" x14ac:dyDescent="0.25">
      <c r="A26" s="3" t="s">
        <v>292</v>
      </c>
      <c r="B26" s="3" t="s">
        <v>238</v>
      </c>
      <c r="C26" s="2">
        <v>222</v>
      </c>
      <c r="D26" s="2">
        <v>346</v>
      </c>
      <c r="E26" s="104">
        <v>4</v>
      </c>
      <c r="F26" s="75">
        <f>'Masters (1 yr) Additive'!V25/E26</f>
        <v>0</v>
      </c>
      <c r="G26" s="34">
        <v>0.2286</v>
      </c>
      <c r="H26" s="34">
        <v>0.75</v>
      </c>
      <c r="I26" s="104">
        <v>2.62</v>
      </c>
      <c r="J26" s="75">
        <f>(1-0)/3</f>
        <v>0.33333333333333331</v>
      </c>
      <c r="K26" s="75">
        <f>2/3</f>
        <v>0.66666666666666663</v>
      </c>
      <c r="L26" s="74">
        <v>5</v>
      </c>
    </row>
    <row r="27" spans="1:12" x14ac:dyDescent="0.25">
      <c r="A27" s="3" t="s">
        <v>150</v>
      </c>
      <c r="B27" s="3" t="s">
        <v>320</v>
      </c>
      <c r="C27" s="2">
        <v>214</v>
      </c>
      <c r="D27" s="2">
        <v>347</v>
      </c>
      <c r="E27" s="112">
        <v>20</v>
      </c>
      <c r="F27" s="75">
        <f>'Masters (1 yr) Additive'!V26/E27</f>
        <v>0.15</v>
      </c>
      <c r="G27" s="53">
        <v>0.7782</v>
      </c>
      <c r="H27" s="53">
        <v>0.55110000000000003</v>
      </c>
      <c r="I27" s="112">
        <v>2.02</v>
      </c>
      <c r="J27" s="75">
        <f>(10-0)/124</f>
        <v>8.0645161290322578E-2</v>
      </c>
      <c r="K27" s="75">
        <f>114/124</f>
        <v>0.91935483870967738</v>
      </c>
      <c r="L27" s="179">
        <v>131</v>
      </c>
    </row>
    <row r="28" spans="1:12" x14ac:dyDescent="0.25">
      <c r="A28" s="3" t="s">
        <v>42</v>
      </c>
      <c r="B28" s="3" t="s">
        <v>64</v>
      </c>
      <c r="C28" s="2">
        <v>212</v>
      </c>
      <c r="D28" s="2">
        <v>348</v>
      </c>
      <c r="E28" s="104">
        <v>4</v>
      </c>
      <c r="F28" s="75">
        <f>'Masters (1 yr) Additive'!V27/E28</f>
        <v>0</v>
      </c>
      <c r="G28" s="34">
        <v>0.55000000000000004</v>
      </c>
      <c r="H28" s="34">
        <v>0.81950000000000001</v>
      </c>
      <c r="I28" s="104" t="s">
        <v>451</v>
      </c>
      <c r="J28" s="75">
        <f>(0-0)/72</f>
        <v>0</v>
      </c>
      <c r="K28" s="75">
        <f>72/72</f>
        <v>1</v>
      </c>
      <c r="L28" s="74">
        <v>0</v>
      </c>
    </row>
    <row r="29" spans="1:12" x14ac:dyDescent="0.25">
      <c r="A29" s="3" t="s">
        <v>42</v>
      </c>
      <c r="B29" s="3" t="s">
        <v>238</v>
      </c>
      <c r="C29" s="2">
        <v>212</v>
      </c>
      <c r="D29" s="2">
        <v>348</v>
      </c>
      <c r="E29" s="112">
        <v>2</v>
      </c>
      <c r="F29" s="75">
        <f>'Masters (1 yr) Additive'!V28/E29</f>
        <v>0</v>
      </c>
      <c r="G29" s="53">
        <v>0.55000000000000004</v>
      </c>
      <c r="H29" s="53">
        <v>0.81950000000000001</v>
      </c>
      <c r="I29" s="112">
        <v>3.77</v>
      </c>
      <c r="J29" s="75">
        <f>(14-1)/67</f>
        <v>0.19402985074626866</v>
      </c>
      <c r="K29" s="75">
        <f>53/67</f>
        <v>0.79104477611940294</v>
      </c>
      <c r="L29" s="179">
        <v>1</v>
      </c>
    </row>
    <row r="30" spans="1:12" x14ac:dyDescent="0.25">
      <c r="A30" s="3" t="s">
        <v>40</v>
      </c>
      <c r="B30" s="3" t="s">
        <v>159</v>
      </c>
      <c r="C30" s="2">
        <v>216</v>
      </c>
      <c r="D30" s="2">
        <v>349</v>
      </c>
      <c r="E30" s="104">
        <v>43</v>
      </c>
      <c r="F30" s="75">
        <f>'Masters (1 yr) Additive'!V29/E30</f>
        <v>4.6511627906976744E-2</v>
      </c>
      <c r="G30" s="43">
        <v>0.54800000000000004</v>
      </c>
      <c r="H30" s="43">
        <v>0.50309999999999999</v>
      </c>
      <c r="I30" s="104">
        <v>1.77</v>
      </c>
      <c r="J30" s="76">
        <f>(1-0)/12</f>
        <v>8.3333333333333329E-2</v>
      </c>
      <c r="K30" s="76">
        <f>11/12</f>
        <v>0.91666666666666663</v>
      </c>
      <c r="L30" s="104">
        <v>46</v>
      </c>
    </row>
    <row r="31" spans="1:12" x14ac:dyDescent="0.25">
      <c r="A31" s="3" t="s">
        <v>40</v>
      </c>
      <c r="B31" s="3" t="s">
        <v>238</v>
      </c>
      <c r="C31" s="2">
        <v>216</v>
      </c>
      <c r="D31" s="2">
        <v>349</v>
      </c>
      <c r="E31" s="104">
        <v>100</v>
      </c>
      <c r="F31" s="75">
        <f>'Masters (1 yr) Additive'!V30/E31</f>
        <v>0.03</v>
      </c>
      <c r="G31" s="43">
        <v>0.54800000000000004</v>
      </c>
      <c r="H31" s="43">
        <v>0.50309999999999999</v>
      </c>
      <c r="I31" s="104">
        <v>1.77</v>
      </c>
      <c r="J31" s="76">
        <f>(7-4)/38</f>
        <v>7.8947368421052627E-2</v>
      </c>
      <c r="K31" s="76">
        <f>31/38</f>
        <v>0.81578947368421051</v>
      </c>
      <c r="L31" s="104">
        <v>106</v>
      </c>
    </row>
    <row r="32" spans="1:12" x14ac:dyDescent="0.25">
      <c r="A32" s="3" t="s">
        <v>294</v>
      </c>
      <c r="B32" s="3" t="s">
        <v>238</v>
      </c>
      <c r="C32" s="2">
        <v>222</v>
      </c>
      <c r="D32" s="2">
        <v>350</v>
      </c>
      <c r="E32" s="104">
        <v>16</v>
      </c>
      <c r="F32" s="75">
        <f>'Masters (1 yr) Additive'!V31/E32</f>
        <v>6.25E-2</v>
      </c>
      <c r="G32" s="43">
        <v>2.86E-2</v>
      </c>
      <c r="H32" s="43">
        <v>1</v>
      </c>
      <c r="I32" s="104">
        <v>0.77</v>
      </c>
      <c r="J32" s="76">
        <f>(7-2)/47</f>
        <v>0.10638297872340426</v>
      </c>
      <c r="K32" s="76">
        <f>40/47</f>
        <v>0.85106382978723405</v>
      </c>
      <c r="L32" s="104">
        <v>74</v>
      </c>
    </row>
    <row r="33" spans="1:12" x14ac:dyDescent="0.25">
      <c r="A33" s="3" t="s">
        <v>180</v>
      </c>
      <c r="B33" s="3" t="s">
        <v>159</v>
      </c>
      <c r="C33" s="2">
        <v>216</v>
      </c>
      <c r="D33" s="2">
        <v>351</v>
      </c>
      <c r="E33" s="104">
        <v>89</v>
      </c>
      <c r="F33" s="75">
        <f>'Masters (1 yr) Additive'!V32/E33</f>
        <v>0.2247191011235955</v>
      </c>
      <c r="G33" s="43">
        <v>0.7006</v>
      </c>
      <c r="H33" s="43">
        <v>0.48330000000000001</v>
      </c>
      <c r="I33" s="114">
        <v>1.3825799999999999</v>
      </c>
      <c r="J33" s="76">
        <f>(20-2)/190</f>
        <v>9.4736842105263161E-2</v>
      </c>
      <c r="K33" s="76">
        <f>170/190</f>
        <v>0.89473684210526316</v>
      </c>
      <c r="L33" s="104">
        <v>341</v>
      </c>
    </row>
    <row r="34" spans="1:12" x14ac:dyDescent="0.25">
      <c r="A34" s="3" t="s">
        <v>180</v>
      </c>
      <c r="B34" s="3" t="s">
        <v>238</v>
      </c>
      <c r="C34" s="2">
        <v>216</v>
      </c>
      <c r="D34" s="2">
        <v>351</v>
      </c>
      <c r="E34" s="104">
        <v>93</v>
      </c>
      <c r="F34" s="75">
        <f>'Masters (1 yr) Additive'!V33/E34</f>
        <v>6.4516129032258063E-2</v>
      </c>
      <c r="G34" s="43">
        <v>0.7006</v>
      </c>
      <c r="H34" s="43">
        <v>0.48330000000000001</v>
      </c>
      <c r="I34" s="114">
        <v>1.7658700000000001</v>
      </c>
      <c r="J34" s="76">
        <f>(15-2)/109</f>
        <v>0.11926605504587157</v>
      </c>
      <c r="K34" s="76">
        <f>94/109</f>
        <v>0.86238532110091748</v>
      </c>
      <c r="L34" s="104">
        <v>200</v>
      </c>
    </row>
    <row r="35" spans="1:12" x14ac:dyDescent="0.25">
      <c r="A35" s="3" t="s">
        <v>63</v>
      </c>
      <c r="B35" s="3" t="s">
        <v>64</v>
      </c>
      <c r="C35" s="2">
        <v>222</v>
      </c>
      <c r="D35" s="2">
        <v>41</v>
      </c>
      <c r="E35" s="104">
        <v>5</v>
      </c>
      <c r="F35" s="75">
        <f>'Masters (1 yr) Additive'!V34/E35</f>
        <v>0</v>
      </c>
      <c r="G35" s="43">
        <v>0.54020000000000001</v>
      </c>
      <c r="H35" s="43">
        <v>0.53190000000000004</v>
      </c>
      <c r="I35" s="104">
        <v>2.02</v>
      </c>
      <c r="J35" s="76">
        <f>(16-1)/25</f>
        <v>0.6</v>
      </c>
      <c r="K35" s="76">
        <f>9/25</f>
        <v>0.36</v>
      </c>
      <c r="L35" s="104">
        <v>12</v>
      </c>
    </row>
    <row r="36" spans="1:12" x14ac:dyDescent="0.25">
      <c r="A36" s="3" t="s">
        <v>158</v>
      </c>
      <c r="B36" s="3" t="s">
        <v>159</v>
      </c>
      <c r="C36" s="2">
        <v>216</v>
      </c>
      <c r="D36" s="2">
        <v>42</v>
      </c>
      <c r="E36" s="104">
        <v>4</v>
      </c>
      <c r="F36" s="75">
        <f>'Masters (1 yr) Additive'!V35/E36</f>
        <v>0</v>
      </c>
      <c r="G36" s="43">
        <v>0.72519999999999996</v>
      </c>
      <c r="H36" s="43">
        <v>0.48420000000000002</v>
      </c>
      <c r="I36" s="104" t="s">
        <v>451</v>
      </c>
      <c r="J36" s="76">
        <f>(2-1)/2</f>
        <v>0.5</v>
      </c>
      <c r="K36" s="76">
        <f>0/2</f>
        <v>0</v>
      </c>
      <c r="L36" s="104">
        <v>0</v>
      </c>
    </row>
    <row r="37" spans="1:12" x14ac:dyDescent="0.25">
      <c r="A37" s="3" t="s">
        <v>158</v>
      </c>
      <c r="B37" s="3" t="s">
        <v>238</v>
      </c>
      <c r="C37" s="2">
        <v>216</v>
      </c>
      <c r="D37" s="2">
        <v>42</v>
      </c>
      <c r="E37" s="104">
        <v>27</v>
      </c>
      <c r="F37" s="75">
        <f>'Masters (1 yr) Additive'!V36/E37</f>
        <v>0</v>
      </c>
      <c r="G37" s="43">
        <v>0.72519999999999996</v>
      </c>
      <c r="H37" s="43">
        <v>0.48420000000000002</v>
      </c>
      <c r="I37" s="39">
        <v>1.77</v>
      </c>
      <c r="J37" s="76">
        <f>(4-2)/32</f>
        <v>6.25E-2</v>
      </c>
      <c r="K37" s="76">
        <f>29/32</f>
        <v>0.90625</v>
      </c>
      <c r="L37" s="104">
        <v>44</v>
      </c>
    </row>
    <row r="38" spans="1:12" x14ac:dyDescent="0.25">
      <c r="A38" s="3" t="s">
        <v>119</v>
      </c>
      <c r="B38" s="3" t="s">
        <v>64</v>
      </c>
      <c r="C38" s="2">
        <v>219</v>
      </c>
      <c r="D38" s="2">
        <v>520</v>
      </c>
      <c r="E38" s="104">
        <v>66</v>
      </c>
      <c r="F38" s="75">
        <f>'Masters (1 yr) Additive'!V37/E38</f>
        <v>0.10606060606060606</v>
      </c>
      <c r="G38" s="43">
        <v>0.27639999999999998</v>
      </c>
      <c r="H38" s="43">
        <v>0.47199999999999998</v>
      </c>
      <c r="I38" s="39">
        <v>1.77</v>
      </c>
      <c r="J38" s="76">
        <f>(1-0)/5</f>
        <v>0.2</v>
      </c>
      <c r="K38" s="76">
        <f>4/5</f>
        <v>0.8</v>
      </c>
      <c r="L38" s="104">
        <v>145</v>
      </c>
    </row>
    <row r="39" spans="1:12" x14ac:dyDescent="0.25">
      <c r="A39" s="3" t="s">
        <v>162</v>
      </c>
      <c r="B39" s="3" t="s">
        <v>159</v>
      </c>
      <c r="C39" s="2">
        <v>216</v>
      </c>
      <c r="D39" s="2">
        <v>45</v>
      </c>
      <c r="E39" s="104">
        <v>6</v>
      </c>
      <c r="F39" s="75">
        <f>'Masters (1 yr) Additive'!V38/E39</f>
        <v>0</v>
      </c>
      <c r="G39" s="43">
        <v>0.74160000000000004</v>
      </c>
      <c r="H39" s="43">
        <v>0.40510000000000002</v>
      </c>
      <c r="I39" s="39">
        <v>1.62</v>
      </c>
      <c r="J39" s="76">
        <f>(0-0)/7</f>
        <v>0</v>
      </c>
      <c r="K39" s="76">
        <f>7/7</f>
        <v>1</v>
      </c>
      <c r="L39" s="104">
        <v>16</v>
      </c>
    </row>
    <row r="40" spans="1:12" x14ac:dyDescent="0.25">
      <c r="A40" s="3" t="s">
        <v>162</v>
      </c>
      <c r="B40" s="3" t="s">
        <v>238</v>
      </c>
      <c r="C40" s="2">
        <v>216</v>
      </c>
      <c r="D40" s="2">
        <v>45</v>
      </c>
      <c r="E40" s="104">
        <v>272</v>
      </c>
      <c r="F40" s="75">
        <f>'Masters (1 yr) Additive'!V39/E40</f>
        <v>2.5735294117647058E-2</v>
      </c>
      <c r="G40" s="43">
        <v>0.74160000000000004</v>
      </c>
      <c r="H40" s="43">
        <v>0.40510000000000002</v>
      </c>
      <c r="I40" s="39">
        <v>1.77</v>
      </c>
      <c r="J40" s="76">
        <f>(35-3)/461</f>
        <v>6.9414316702819959E-2</v>
      </c>
      <c r="K40" s="76">
        <f>426/461</f>
        <v>0.92407809110629069</v>
      </c>
      <c r="L40" s="104">
        <v>871</v>
      </c>
    </row>
    <row r="41" spans="1:12" x14ac:dyDescent="0.25">
      <c r="A41" s="3" t="s">
        <v>240</v>
      </c>
      <c r="B41" s="3" t="s">
        <v>238</v>
      </c>
      <c r="C41" s="2">
        <v>222</v>
      </c>
      <c r="D41" s="2">
        <v>46</v>
      </c>
      <c r="E41" s="104">
        <v>106</v>
      </c>
      <c r="F41" s="75">
        <f>'Masters (1 yr) Additive'!V40/E41</f>
        <v>9.433962264150943E-3</v>
      </c>
      <c r="G41" s="43">
        <v>7.5999999999999998E-2</v>
      </c>
      <c r="H41" s="43">
        <v>0.21429999999999999</v>
      </c>
      <c r="I41" s="104">
        <v>1.87</v>
      </c>
      <c r="J41" s="76">
        <f>(27-3)/50</f>
        <v>0.48</v>
      </c>
      <c r="K41" s="76">
        <f>23/50</f>
        <v>0.46</v>
      </c>
      <c r="L41" s="104">
        <v>39</v>
      </c>
    </row>
    <row r="42" spans="1:12" x14ac:dyDescent="0.25">
      <c r="A42" s="3" t="s">
        <v>115</v>
      </c>
      <c r="B42" s="3" t="s">
        <v>64</v>
      </c>
      <c r="C42" s="2">
        <v>222</v>
      </c>
      <c r="D42" s="2">
        <v>443</v>
      </c>
      <c r="E42" s="104">
        <v>10</v>
      </c>
      <c r="F42" s="75">
        <f>'Masters (1 yr) Additive'!V41/E42</f>
        <v>0.1</v>
      </c>
      <c r="G42" s="43">
        <v>0.1085</v>
      </c>
      <c r="H42" s="43">
        <v>1</v>
      </c>
      <c r="I42" s="104">
        <v>2.57</v>
      </c>
      <c r="J42" s="77">
        <f>(3-0)/15</f>
        <v>0.2</v>
      </c>
      <c r="K42" s="77">
        <f>12/15</f>
        <v>0.8</v>
      </c>
      <c r="L42" s="104">
        <v>20</v>
      </c>
    </row>
    <row r="43" spans="1:12" x14ac:dyDescent="0.25">
      <c r="A43" s="3" t="s">
        <v>26</v>
      </c>
      <c r="B43" s="3" t="s">
        <v>124</v>
      </c>
      <c r="C43" s="2">
        <v>215</v>
      </c>
      <c r="D43" s="2">
        <v>437</v>
      </c>
      <c r="E43" s="104">
        <v>11</v>
      </c>
      <c r="F43" s="75">
        <f>'Masters (1 yr) Additive'!V42/E43</f>
        <v>0.18181818181818182</v>
      </c>
      <c r="G43" s="43">
        <v>0.55130000000000001</v>
      </c>
      <c r="H43" s="43">
        <v>0.81089999999999995</v>
      </c>
      <c r="I43" s="104">
        <v>2.08</v>
      </c>
      <c r="J43" s="77">
        <f>(4-0)/20</f>
        <v>0.2</v>
      </c>
      <c r="K43" s="77">
        <f>16/20</f>
        <v>0.8</v>
      </c>
      <c r="L43" s="104">
        <v>20</v>
      </c>
    </row>
    <row r="44" spans="1:12" x14ac:dyDescent="0.25">
      <c r="A44" s="3" t="s">
        <v>243</v>
      </c>
      <c r="B44" s="3" t="s">
        <v>238</v>
      </c>
      <c r="C44" s="2">
        <v>213</v>
      </c>
      <c r="D44" s="2">
        <v>50</v>
      </c>
      <c r="E44" s="104">
        <v>37</v>
      </c>
      <c r="F44" s="75">
        <f>'Masters (1 yr) Additive'!V43/E44</f>
        <v>0.24324324324324326</v>
      </c>
      <c r="G44" s="43">
        <v>6.0299999999999999E-2</v>
      </c>
      <c r="H44" s="43">
        <v>0.95589999999999997</v>
      </c>
      <c r="I44" s="104">
        <v>2.93</v>
      </c>
      <c r="J44" s="77">
        <f>(1-0)/42</f>
        <v>2.3809523809523808E-2</v>
      </c>
      <c r="K44" s="77">
        <f>41/42</f>
        <v>0.97619047619047616</v>
      </c>
      <c r="L44" s="104">
        <v>66</v>
      </c>
    </row>
    <row r="45" spans="1:12" x14ac:dyDescent="0.25">
      <c r="A45" s="3" t="s">
        <v>113</v>
      </c>
      <c r="B45" s="3" t="s">
        <v>64</v>
      </c>
      <c r="C45" s="2">
        <v>217</v>
      </c>
      <c r="D45" s="2">
        <v>440</v>
      </c>
      <c r="E45" s="104">
        <v>14</v>
      </c>
      <c r="F45" s="75">
        <f>'Masters (1 yr) Additive'!V44/E45</f>
        <v>0.2857142857142857</v>
      </c>
      <c r="G45" s="43">
        <v>0.63160000000000005</v>
      </c>
      <c r="H45" s="43">
        <v>0.77780000000000005</v>
      </c>
      <c r="I45" s="104">
        <v>1.77</v>
      </c>
      <c r="J45" s="77" t="s">
        <v>451</v>
      </c>
      <c r="K45" s="77" t="s">
        <v>451</v>
      </c>
      <c r="L45" s="104">
        <v>16</v>
      </c>
    </row>
    <row r="46" spans="1:12" x14ac:dyDescent="0.25">
      <c r="A46" s="3" t="s">
        <v>245</v>
      </c>
      <c r="B46" s="3" t="s">
        <v>238</v>
      </c>
      <c r="C46" s="2">
        <v>216</v>
      </c>
      <c r="D46" s="2">
        <v>51</v>
      </c>
      <c r="E46" s="104">
        <v>4</v>
      </c>
      <c r="F46" s="75">
        <f>'Masters (1 yr) Additive'!V45/E46</f>
        <v>0</v>
      </c>
      <c r="G46" s="43">
        <v>0.39319999999999999</v>
      </c>
      <c r="H46" s="43">
        <v>0.28260000000000002</v>
      </c>
      <c r="I46" s="104">
        <v>1.89</v>
      </c>
      <c r="J46" s="77">
        <f>(9-0)/19</f>
        <v>0.47368421052631576</v>
      </c>
      <c r="K46" s="77">
        <f>10/19</f>
        <v>0.52631578947368418</v>
      </c>
      <c r="L46" s="104">
        <v>11</v>
      </c>
    </row>
    <row r="47" spans="1:12" x14ac:dyDescent="0.25">
      <c r="A47" s="3" t="s">
        <v>123</v>
      </c>
      <c r="B47" s="3" t="s">
        <v>124</v>
      </c>
      <c r="C47" s="2">
        <v>215</v>
      </c>
      <c r="D47" s="2">
        <v>52</v>
      </c>
      <c r="E47" s="112">
        <v>4</v>
      </c>
      <c r="F47" s="75">
        <f>'Masters (1 yr) Additive'!V46/E47</f>
        <v>0</v>
      </c>
      <c r="G47" s="52">
        <v>0.79749999999999999</v>
      </c>
      <c r="H47" s="52">
        <v>0.92859999999999998</v>
      </c>
      <c r="I47" s="112" t="s">
        <v>451</v>
      </c>
      <c r="J47" s="77" t="s">
        <v>451</v>
      </c>
      <c r="K47" s="77" t="s">
        <v>451</v>
      </c>
      <c r="L47" s="112">
        <v>0</v>
      </c>
    </row>
    <row r="48" spans="1:12" x14ac:dyDescent="0.25">
      <c r="A48" s="3" t="s">
        <v>67</v>
      </c>
      <c r="B48" s="3" t="s">
        <v>64</v>
      </c>
      <c r="C48" s="2">
        <v>212</v>
      </c>
      <c r="D48" s="2">
        <v>53</v>
      </c>
      <c r="E48" s="104">
        <v>10</v>
      </c>
      <c r="F48" s="75">
        <f>'Masters (1 yr) Additive'!V47/E48</f>
        <v>0.3</v>
      </c>
      <c r="G48" s="43">
        <v>5.9700000000000003E-2</v>
      </c>
      <c r="H48" s="43">
        <v>1</v>
      </c>
      <c r="I48" s="104">
        <v>0.35</v>
      </c>
      <c r="J48" s="77">
        <f>(1-0)/10</f>
        <v>0.1</v>
      </c>
      <c r="K48" s="77">
        <f>9/10</f>
        <v>0.9</v>
      </c>
      <c r="L48" s="104">
        <v>20</v>
      </c>
    </row>
    <row r="49" spans="1:12" x14ac:dyDescent="0.25">
      <c r="A49" s="3" t="s">
        <v>8</v>
      </c>
      <c r="B49" s="3" t="s">
        <v>124</v>
      </c>
      <c r="C49" s="2">
        <v>215</v>
      </c>
      <c r="D49" s="2">
        <v>54</v>
      </c>
      <c r="E49" s="104">
        <v>0</v>
      </c>
      <c r="F49" s="75">
        <v>0</v>
      </c>
      <c r="G49" s="43">
        <v>0.48909999999999998</v>
      </c>
      <c r="H49" s="43">
        <v>0.74629999999999996</v>
      </c>
      <c r="I49" s="104" t="s">
        <v>451</v>
      </c>
      <c r="J49" s="77">
        <f>(1-1)/3</f>
        <v>0</v>
      </c>
      <c r="K49" s="77">
        <f>2/3</f>
        <v>0.66666666666666663</v>
      </c>
      <c r="L49" s="104">
        <v>2</v>
      </c>
    </row>
    <row r="50" spans="1:12" x14ac:dyDescent="0.25">
      <c r="A50" s="3" t="s">
        <v>164</v>
      </c>
      <c r="B50" s="3" t="s">
        <v>159</v>
      </c>
      <c r="C50" s="2">
        <v>216</v>
      </c>
      <c r="D50" s="2">
        <v>56</v>
      </c>
      <c r="E50" s="104">
        <v>2</v>
      </c>
      <c r="F50" s="75">
        <f>'Masters (1 yr) Additive'!V49/E50</f>
        <v>0</v>
      </c>
      <c r="G50" s="43">
        <v>0.38700000000000001</v>
      </c>
      <c r="H50" s="43">
        <v>0.32740000000000002</v>
      </c>
      <c r="I50" s="104">
        <v>1.18</v>
      </c>
      <c r="J50" s="77">
        <f>(1-1)/8</f>
        <v>0</v>
      </c>
      <c r="K50" s="77">
        <f>7/8</f>
        <v>0.875</v>
      </c>
      <c r="L50" s="104">
        <v>17</v>
      </c>
    </row>
    <row r="51" spans="1:12" x14ac:dyDescent="0.25">
      <c r="A51" s="3" t="s">
        <v>164</v>
      </c>
      <c r="B51" s="3" t="s">
        <v>238</v>
      </c>
      <c r="C51" s="2">
        <v>216</v>
      </c>
      <c r="D51" s="2">
        <v>56</v>
      </c>
      <c r="E51" s="104">
        <v>346</v>
      </c>
      <c r="F51" s="75">
        <f>'Masters (1 yr) Additive'!V50/E51</f>
        <v>5.7803468208092484E-2</v>
      </c>
      <c r="G51" s="43">
        <v>0.38700000000000001</v>
      </c>
      <c r="H51" s="43">
        <v>0.32740000000000002</v>
      </c>
      <c r="I51" s="104">
        <v>1.77</v>
      </c>
      <c r="J51" s="77">
        <f>(37-2)/523</f>
        <v>6.6921606118546847E-2</v>
      </c>
      <c r="K51" s="77">
        <f>486/523</f>
        <v>0.92925430210325044</v>
      </c>
      <c r="L51" s="104">
        <v>932</v>
      </c>
    </row>
    <row r="52" spans="1:12" x14ac:dyDescent="0.25">
      <c r="A52" s="3" t="s">
        <v>127</v>
      </c>
      <c r="B52" s="3" t="s">
        <v>124</v>
      </c>
      <c r="C52" s="2">
        <v>215</v>
      </c>
      <c r="D52" s="2">
        <v>57</v>
      </c>
      <c r="E52" s="104">
        <v>0</v>
      </c>
      <c r="F52" s="75">
        <v>0</v>
      </c>
      <c r="G52" s="43">
        <v>0.89880000000000004</v>
      </c>
      <c r="H52" s="43">
        <v>0.93130000000000002</v>
      </c>
      <c r="I52" s="104" t="s">
        <v>451</v>
      </c>
      <c r="J52" s="77">
        <f>(2-0)/2</f>
        <v>1</v>
      </c>
      <c r="K52" s="77">
        <f>0/2</f>
        <v>0</v>
      </c>
      <c r="L52" s="104">
        <v>1</v>
      </c>
    </row>
    <row r="53" spans="1:12" x14ac:dyDescent="0.25">
      <c r="A53" s="3" t="s">
        <v>69</v>
      </c>
      <c r="B53" s="3" t="s">
        <v>64</v>
      </c>
      <c r="C53" s="2">
        <v>222</v>
      </c>
      <c r="D53" s="2">
        <v>60</v>
      </c>
      <c r="E53" s="104">
        <v>16</v>
      </c>
      <c r="F53" s="75">
        <f>'Masters (1 yr) Additive'!V52/E53</f>
        <v>0.5</v>
      </c>
      <c r="G53" s="43">
        <v>0.1431</v>
      </c>
      <c r="H53" s="43">
        <v>0.72529999999999994</v>
      </c>
      <c r="I53" s="104">
        <v>2.02</v>
      </c>
      <c r="J53" s="77">
        <f>(3-0)/47</f>
        <v>6.3829787234042548E-2</v>
      </c>
      <c r="K53" s="77">
        <f>44/47</f>
        <v>0.93617021276595747</v>
      </c>
      <c r="L53" s="104">
        <v>62</v>
      </c>
    </row>
    <row r="54" spans="1:12" x14ac:dyDescent="0.25">
      <c r="A54" s="68" t="s">
        <v>129</v>
      </c>
      <c r="B54" s="68" t="s">
        <v>124</v>
      </c>
      <c r="C54" s="67">
        <v>215</v>
      </c>
      <c r="D54" s="67">
        <v>61</v>
      </c>
      <c r="E54" s="112">
        <v>0</v>
      </c>
      <c r="F54" s="75">
        <v>0</v>
      </c>
      <c r="G54" s="52">
        <v>0.78879999999999995</v>
      </c>
      <c r="H54" s="52">
        <v>0.81100000000000005</v>
      </c>
      <c r="I54" s="112" t="s">
        <v>451</v>
      </c>
      <c r="J54" s="95" t="s">
        <v>451</v>
      </c>
      <c r="K54" s="95" t="s">
        <v>451</v>
      </c>
      <c r="L54" s="112">
        <v>1</v>
      </c>
    </row>
    <row r="55" spans="1:12" x14ac:dyDescent="0.25">
      <c r="A55" s="3" t="s">
        <v>247</v>
      </c>
      <c r="B55" s="3" t="s">
        <v>238</v>
      </c>
      <c r="C55" s="2">
        <v>211</v>
      </c>
      <c r="D55" s="2">
        <v>62</v>
      </c>
      <c r="E55" s="104">
        <v>63</v>
      </c>
      <c r="F55" s="75">
        <f>'Masters (1 yr) Additive'!V54/E55</f>
        <v>0.1111111111111111</v>
      </c>
      <c r="G55" s="43">
        <v>0.61080000000000001</v>
      </c>
      <c r="H55" s="43">
        <v>0.879</v>
      </c>
      <c r="I55" s="104">
        <v>2.16</v>
      </c>
      <c r="J55" s="76">
        <f>(9-1)/56</f>
        <v>0.14285714285714285</v>
      </c>
      <c r="K55" s="76">
        <f>47/56</f>
        <v>0.8392857142857143</v>
      </c>
      <c r="L55" s="104">
        <v>92</v>
      </c>
    </row>
    <row r="56" spans="1:12" x14ac:dyDescent="0.25">
      <c r="A56" s="3" t="s">
        <v>312</v>
      </c>
      <c r="B56" s="3" t="s">
        <v>238</v>
      </c>
      <c r="C56" s="2">
        <v>212</v>
      </c>
      <c r="D56" s="2">
        <v>491</v>
      </c>
      <c r="E56" s="104">
        <v>30</v>
      </c>
      <c r="F56" s="75">
        <f>'Masters (1 yr) Additive'!V55/E56</f>
        <v>0.23333333333333334</v>
      </c>
      <c r="G56" s="43">
        <v>0.73799999999999999</v>
      </c>
      <c r="H56" s="43">
        <v>0.80130000000000001</v>
      </c>
      <c r="I56" s="104">
        <v>0.94</v>
      </c>
      <c r="J56" s="76">
        <f>(13-0)/117</f>
        <v>0.1111111111111111</v>
      </c>
      <c r="K56" s="76">
        <f>104/117</f>
        <v>0.88888888888888884</v>
      </c>
      <c r="L56" s="104">
        <v>251</v>
      </c>
    </row>
    <row r="57" spans="1:12" x14ac:dyDescent="0.25">
      <c r="A57" s="3" t="s">
        <v>166</v>
      </c>
      <c r="B57" s="3" t="s">
        <v>159</v>
      </c>
      <c r="C57" s="2">
        <v>216</v>
      </c>
      <c r="D57" s="2">
        <v>63</v>
      </c>
      <c r="E57" s="104">
        <v>54</v>
      </c>
      <c r="F57" s="75">
        <f>'Masters (1 yr) Additive'!V56/E57</f>
        <v>0.12962962962962962</v>
      </c>
      <c r="G57" s="43">
        <v>0.37140000000000001</v>
      </c>
      <c r="H57" s="43">
        <v>0.87909999999999999</v>
      </c>
      <c r="I57" s="104">
        <v>1.77</v>
      </c>
      <c r="J57" s="76">
        <f>(19-2)/84</f>
        <v>0.20238095238095238</v>
      </c>
      <c r="K57" s="76">
        <f>65/84</f>
        <v>0.77380952380952384</v>
      </c>
      <c r="L57" s="104">
        <v>135</v>
      </c>
    </row>
    <row r="58" spans="1:12" x14ac:dyDescent="0.25">
      <c r="A58" s="3" t="s">
        <v>166</v>
      </c>
      <c r="B58" s="3" t="s">
        <v>238</v>
      </c>
      <c r="C58" s="2">
        <v>216</v>
      </c>
      <c r="D58" s="2">
        <v>63</v>
      </c>
      <c r="E58" s="104">
        <v>36</v>
      </c>
      <c r="F58" s="75">
        <f>'Masters (1 yr) Additive'!V57/E58</f>
        <v>0.1111111111111111</v>
      </c>
      <c r="G58" s="43">
        <v>0.37140000000000001</v>
      </c>
      <c r="H58" s="43">
        <v>0.87909999999999999</v>
      </c>
      <c r="I58" s="104">
        <v>2.0299999999999998</v>
      </c>
      <c r="J58" s="76">
        <f>(13-2)/41</f>
        <v>0.26829268292682928</v>
      </c>
      <c r="K58" s="76">
        <f>28/41</f>
        <v>0.68292682926829273</v>
      </c>
      <c r="L58" s="104">
        <v>69</v>
      </c>
    </row>
    <row r="59" spans="1:12" x14ac:dyDescent="0.25">
      <c r="A59" s="3" t="s">
        <v>296</v>
      </c>
      <c r="B59" s="3" t="s">
        <v>238</v>
      </c>
      <c r="C59" s="2">
        <v>219</v>
      </c>
      <c r="D59" s="2">
        <v>455</v>
      </c>
      <c r="E59" s="104">
        <v>1</v>
      </c>
      <c r="F59" s="75">
        <f>'Masters (1 yr) Additive'!V58/E59</f>
        <v>0</v>
      </c>
      <c r="G59" s="43">
        <v>0</v>
      </c>
      <c r="H59" s="43">
        <v>0</v>
      </c>
      <c r="I59" s="104" t="s">
        <v>451</v>
      </c>
      <c r="J59" s="77" t="s">
        <v>451</v>
      </c>
      <c r="K59" s="77" t="s">
        <v>451</v>
      </c>
      <c r="L59" s="104">
        <v>0</v>
      </c>
    </row>
    <row r="60" spans="1:12" x14ac:dyDescent="0.25">
      <c r="A60" s="3" t="s">
        <v>296</v>
      </c>
      <c r="B60" s="3" t="s">
        <v>238</v>
      </c>
      <c r="C60" s="2">
        <v>223</v>
      </c>
      <c r="D60" s="2">
        <v>455</v>
      </c>
      <c r="E60" s="104">
        <v>0</v>
      </c>
      <c r="F60" s="75">
        <v>0</v>
      </c>
      <c r="G60" s="43">
        <v>6.6699999999999995E-2</v>
      </c>
      <c r="H60" s="43">
        <v>1</v>
      </c>
      <c r="I60" s="104" t="s">
        <v>451</v>
      </c>
      <c r="J60" s="76">
        <f>(0-0)/1</f>
        <v>0</v>
      </c>
      <c r="K60" s="76">
        <f>1/1</f>
        <v>1</v>
      </c>
      <c r="L60" s="104">
        <v>1</v>
      </c>
    </row>
    <row r="61" spans="1:12" x14ac:dyDescent="0.25">
      <c r="A61" s="68" t="s">
        <v>249</v>
      </c>
      <c r="B61" s="68" t="s">
        <v>238</v>
      </c>
      <c r="C61" s="67">
        <v>211</v>
      </c>
      <c r="D61" s="67">
        <v>65</v>
      </c>
      <c r="E61" s="112">
        <v>28</v>
      </c>
      <c r="F61" s="75">
        <f>'Masters (1 yr) Additive'!V60/E61</f>
        <v>0.35714285714285715</v>
      </c>
      <c r="G61" s="52">
        <v>0.65849999999999997</v>
      </c>
      <c r="H61" s="52">
        <v>0.71599999999999997</v>
      </c>
      <c r="I61" s="112">
        <v>2.04</v>
      </c>
      <c r="J61" s="76">
        <f>(6-0)/20</f>
        <v>0.3</v>
      </c>
      <c r="K61" s="76">
        <f>14/20</f>
        <v>0.7</v>
      </c>
      <c r="L61" s="112">
        <v>43</v>
      </c>
    </row>
    <row r="62" spans="1:12" x14ac:dyDescent="0.25">
      <c r="A62" s="3" t="s">
        <v>306</v>
      </c>
      <c r="B62" s="3" t="s">
        <v>238</v>
      </c>
      <c r="C62" s="2">
        <v>212</v>
      </c>
      <c r="D62" s="2">
        <v>472</v>
      </c>
      <c r="E62" s="104">
        <v>7</v>
      </c>
      <c r="F62" s="75">
        <f>'Masters (1 yr) Additive'!V61/E62</f>
        <v>0.14285714285714285</v>
      </c>
      <c r="G62" s="43">
        <v>0.1128</v>
      </c>
      <c r="H62" s="43">
        <v>0.91969999999999996</v>
      </c>
      <c r="I62" s="104">
        <v>0.48</v>
      </c>
      <c r="J62" s="76">
        <f>(3-0)/64</f>
        <v>4.6875E-2</v>
      </c>
      <c r="K62" s="76">
        <f>61/64</f>
        <v>0.953125</v>
      </c>
      <c r="L62" s="104">
        <v>142</v>
      </c>
    </row>
    <row r="63" spans="1:12" x14ac:dyDescent="0.25">
      <c r="A63" s="3" t="s">
        <v>188</v>
      </c>
      <c r="B63" s="3" t="s">
        <v>238</v>
      </c>
      <c r="C63" s="2">
        <v>211</v>
      </c>
      <c r="D63" s="2">
        <v>66</v>
      </c>
      <c r="E63" s="104">
        <v>23</v>
      </c>
      <c r="F63" s="75">
        <f>'Masters (1 yr) Additive'!V62/E63</f>
        <v>0</v>
      </c>
      <c r="G63" s="43">
        <v>0.3488</v>
      </c>
      <c r="H63" s="43">
        <v>0.91669999999999996</v>
      </c>
      <c r="I63" s="104">
        <v>2.04</v>
      </c>
      <c r="J63" s="76">
        <f>(4-2)/27</f>
        <v>7.407407407407407E-2</v>
      </c>
      <c r="K63" s="76">
        <f>23/27</f>
        <v>0.85185185185185186</v>
      </c>
      <c r="L63" s="104">
        <v>45</v>
      </c>
    </row>
    <row r="64" spans="1:12" x14ac:dyDescent="0.25">
      <c r="A64" s="3" t="s">
        <v>53</v>
      </c>
      <c r="B64" s="3" t="s">
        <v>238</v>
      </c>
      <c r="C64" s="2">
        <v>211</v>
      </c>
      <c r="D64" s="2">
        <v>67</v>
      </c>
      <c r="E64" s="104">
        <v>29</v>
      </c>
      <c r="F64" s="75">
        <f>'Masters (1 yr) Additive'!V63/E64</f>
        <v>0.13793103448275862</v>
      </c>
      <c r="G64" s="43">
        <v>0.73829999999999996</v>
      </c>
      <c r="H64" s="43">
        <v>0.71730000000000005</v>
      </c>
      <c r="I64" s="39">
        <v>1.39</v>
      </c>
      <c r="J64" s="76">
        <f>(6-0)/56</f>
        <v>0.10714285714285714</v>
      </c>
      <c r="K64" s="76">
        <f>50/56</f>
        <v>0.8928571428571429</v>
      </c>
      <c r="L64" s="104">
        <v>87</v>
      </c>
    </row>
    <row r="65" spans="1:12" x14ac:dyDescent="0.25">
      <c r="A65" s="3" t="s">
        <v>251</v>
      </c>
      <c r="B65" s="3" t="s">
        <v>238</v>
      </c>
      <c r="C65" s="2">
        <v>211</v>
      </c>
      <c r="D65" s="2">
        <v>68</v>
      </c>
      <c r="E65" s="104">
        <v>42</v>
      </c>
      <c r="F65" s="75">
        <f>'Masters (1 yr) Additive'!V64/E65</f>
        <v>4.7619047619047616E-2</v>
      </c>
      <c r="G65" s="43">
        <v>0.24429999999999999</v>
      </c>
      <c r="H65" s="43">
        <v>0.6784</v>
      </c>
      <c r="I65" s="39">
        <v>2.0299999999999998</v>
      </c>
      <c r="J65" s="76">
        <f>(17-2)/78</f>
        <v>0.19230769230769232</v>
      </c>
      <c r="K65" s="76">
        <f>61/78</f>
        <v>0.78205128205128205</v>
      </c>
      <c r="L65" s="104">
        <v>107</v>
      </c>
    </row>
    <row r="66" spans="1:12" x14ac:dyDescent="0.25">
      <c r="A66" s="3" t="s">
        <v>192</v>
      </c>
      <c r="B66" s="3" t="s">
        <v>238</v>
      </c>
      <c r="C66" s="2">
        <v>211</v>
      </c>
      <c r="D66" s="2">
        <v>70</v>
      </c>
      <c r="E66" s="104">
        <v>52</v>
      </c>
      <c r="F66" s="75">
        <f>'Masters (1 yr) Additive'!V65/E66</f>
        <v>7.6923076923076927E-2</v>
      </c>
      <c r="G66" s="43">
        <v>0.61270000000000002</v>
      </c>
      <c r="H66" s="43">
        <v>0.88680000000000003</v>
      </c>
      <c r="I66" s="39">
        <v>2.02</v>
      </c>
      <c r="J66" s="76">
        <f>(7-1)/34</f>
        <v>0.17647058823529413</v>
      </c>
      <c r="K66" s="76">
        <f>27/34</f>
        <v>0.79411764705882348</v>
      </c>
      <c r="L66" s="104">
        <v>60</v>
      </c>
    </row>
    <row r="67" spans="1:12" x14ac:dyDescent="0.25">
      <c r="A67" s="3" t="s">
        <v>121</v>
      </c>
      <c r="B67" s="3" t="s">
        <v>64</v>
      </c>
      <c r="C67" s="2">
        <v>222</v>
      </c>
      <c r="D67" s="67">
        <v>539</v>
      </c>
      <c r="E67" s="104">
        <v>9</v>
      </c>
      <c r="F67" s="75">
        <f>'Masters (1 yr) Additive'!V66/E67</f>
        <v>0.33333333333333331</v>
      </c>
      <c r="G67" s="43">
        <v>0.55320000000000003</v>
      </c>
      <c r="H67" s="43">
        <v>0.65380000000000005</v>
      </c>
      <c r="I67" s="39">
        <v>1.37</v>
      </c>
      <c r="J67" s="77">
        <f>(4-2)/10</f>
        <v>0.2</v>
      </c>
      <c r="K67" s="77">
        <f>6/10</f>
        <v>0.6</v>
      </c>
      <c r="L67" s="104">
        <v>14</v>
      </c>
    </row>
    <row r="68" spans="1:12" x14ac:dyDescent="0.25">
      <c r="A68" s="3" t="s">
        <v>71</v>
      </c>
      <c r="B68" s="3" t="s">
        <v>64</v>
      </c>
      <c r="C68" s="2">
        <v>222</v>
      </c>
      <c r="D68" s="2">
        <v>73</v>
      </c>
      <c r="E68" s="104">
        <v>0</v>
      </c>
      <c r="F68" s="75">
        <v>0</v>
      </c>
      <c r="G68" s="43">
        <v>0.42730000000000001</v>
      </c>
      <c r="H68" s="43">
        <v>0.46810000000000002</v>
      </c>
      <c r="I68" s="39">
        <v>2.02</v>
      </c>
      <c r="J68" s="76">
        <f>(2-0)/7</f>
        <v>0.2857142857142857</v>
      </c>
      <c r="K68" s="76">
        <f>5/7</f>
        <v>0.7142857142857143</v>
      </c>
      <c r="L68" s="104">
        <v>8</v>
      </c>
    </row>
    <row r="69" spans="1:12" x14ac:dyDescent="0.25">
      <c r="A69" s="3" t="s">
        <v>71</v>
      </c>
      <c r="B69" s="3" t="s">
        <v>238</v>
      </c>
      <c r="C69" s="2">
        <v>222</v>
      </c>
      <c r="D69" s="2">
        <v>73</v>
      </c>
      <c r="E69" s="104">
        <v>5</v>
      </c>
      <c r="F69" s="75">
        <f>'Masters (1 yr) Additive'!V68/E69</f>
        <v>0.6</v>
      </c>
      <c r="G69" s="43">
        <v>0.42730000000000001</v>
      </c>
      <c r="H69" s="43">
        <v>0.46810000000000002</v>
      </c>
      <c r="I69" s="39">
        <v>2.38</v>
      </c>
      <c r="J69" s="76">
        <f>(2-1)/11</f>
        <v>9.0909090909090912E-2</v>
      </c>
      <c r="K69" s="76">
        <f>9/11</f>
        <v>0.81818181818181823</v>
      </c>
      <c r="L69" s="104">
        <v>29</v>
      </c>
    </row>
    <row r="70" spans="1:12" x14ac:dyDescent="0.25">
      <c r="A70" s="3" t="s">
        <v>253</v>
      </c>
      <c r="B70" s="3" t="s">
        <v>238</v>
      </c>
      <c r="C70" s="2">
        <v>222</v>
      </c>
      <c r="D70" s="2">
        <v>74</v>
      </c>
      <c r="E70" s="104">
        <v>13</v>
      </c>
      <c r="F70" s="75">
        <f>'Masters (1 yr) Additive'!V69/E70</f>
        <v>7.6923076923076927E-2</v>
      </c>
      <c r="G70" s="43">
        <v>0.3034</v>
      </c>
      <c r="H70" s="43">
        <v>0.61360000000000003</v>
      </c>
      <c r="I70" s="39">
        <v>2.38</v>
      </c>
      <c r="J70" s="76">
        <f>(2-0)/19</f>
        <v>0.10526315789473684</v>
      </c>
      <c r="K70" s="76">
        <f>17/19</f>
        <v>0.89473684210526316</v>
      </c>
      <c r="L70" s="104">
        <v>32</v>
      </c>
    </row>
    <row r="71" spans="1:12" x14ac:dyDescent="0.25">
      <c r="A71" s="3" t="s">
        <v>73</v>
      </c>
      <c r="B71" s="3" t="s">
        <v>64</v>
      </c>
      <c r="C71" s="2">
        <v>222</v>
      </c>
      <c r="D71" s="2">
        <v>75</v>
      </c>
      <c r="E71" s="104">
        <v>3</v>
      </c>
      <c r="F71" s="75">
        <f>'Masters (1 yr) Additive'!V70/E71</f>
        <v>0</v>
      </c>
      <c r="G71" s="43">
        <v>0.86960000000000004</v>
      </c>
      <c r="H71" s="43">
        <v>0.7</v>
      </c>
      <c r="I71" s="39">
        <v>1.77</v>
      </c>
      <c r="J71" s="76">
        <f>(5-0)/12</f>
        <v>0.41666666666666669</v>
      </c>
      <c r="K71" s="76">
        <f>7/12</f>
        <v>0.58333333333333337</v>
      </c>
      <c r="L71" s="104">
        <v>12</v>
      </c>
    </row>
    <row r="72" spans="1:12" x14ac:dyDescent="0.25">
      <c r="A72" s="3" t="s">
        <v>256</v>
      </c>
      <c r="B72" s="3" t="s">
        <v>238</v>
      </c>
      <c r="C72" s="2">
        <v>218</v>
      </c>
      <c r="D72" s="2">
        <v>78</v>
      </c>
      <c r="E72" s="104">
        <v>24</v>
      </c>
      <c r="F72" s="75">
        <f>'Masters (1 yr) Additive'!V71/E72</f>
        <v>0.20833333333333334</v>
      </c>
      <c r="G72" s="43">
        <v>0.68810000000000004</v>
      </c>
      <c r="H72" s="43">
        <v>0.84</v>
      </c>
      <c r="I72" s="39">
        <v>1.02</v>
      </c>
      <c r="J72" s="76">
        <f>(1-0)/42</f>
        <v>2.3809523809523808E-2</v>
      </c>
      <c r="K72" s="76">
        <f>41/42</f>
        <v>0.97619047619047616</v>
      </c>
      <c r="L72" s="104">
        <v>119</v>
      </c>
    </row>
    <row r="73" spans="1:12" x14ac:dyDescent="0.25">
      <c r="A73" s="3" t="s">
        <v>75</v>
      </c>
      <c r="B73" s="3" t="s">
        <v>64</v>
      </c>
      <c r="C73" s="2">
        <v>222</v>
      </c>
      <c r="D73" s="2">
        <v>81</v>
      </c>
      <c r="E73" s="104">
        <v>15</v>
      </c>
      <c r="F73" s="75">
        <f>'Masters (1 yr) Additive'!V72/E73</f>
        <v>0.13333333333333333</v>
      </c>
      <c r="G73" s="43">
        <v>0.27489999999999998</v>
      </c>
      <c r="H73" s="43">
        <v>0.75860000000000005</v>
      </c>
      <c r="I73" s="39">
        <v>1.77</v>
      </c>
      <c r="J73" s="76">
        <f>(10-0)/48</f>
        <v>0.20833333333333334</v>
      </c>
      <c r="K73" s="76">
        <f>38/48</f>
        <v>0.79166666666666663</v>
      </c>
      <c r="L73" s="104">
        <v>64</v>
      </c>
    </row>
    <row r="74" spans="1:12" x14ac:dyDescent="0.25">
      <c r="A74" s="3" t="s">
        <v>258</v>
      </c>
      <c r="B74" s="3" t="s">
        <v>238</v>
      </c>
      <c r="C74" s="2">
        <v>211</v>
      </c>
      <c r="D74" s="2">
        <v>82</v>
      </c>
      <c r="E74" s="104">
        <v>38</v>
      </c>
      <c r="F74" s="75">
        <f>'Masters (1 yr) Additive'!V73/E74</f>
        <v>0.13157894736842105</v>
      </c>
      <c r="G74" s="43">
        <v>0.47339999999999999</v>
      </c>
      <c r="H74" s="43">
        <v>0.91839999999999999</v>
      </c>
      <c r="I74" s="39">
        <v>2.35</v>
      </c>
      <c r="J74" s="76">
        <f>(4-0)/37</f>
        <v>0.10810810810810811</v>
      </c>
      <c r="K74" s="76">
        <f>33/37</f>
        <v>0.89189189189189189</v>
      </c>
      <c r="L74" s="104">
        <v>75</v>
      </c>
    </row>
    <row r="75" spans="1:12" x14ac:dyDescent="0.25">
      <c r="A75" s="3" t="s">
        <v>35</v>
      </c>
      <c r="B75" s="3" t="s">
        <v>159</v>
      </c>
      <c r="C75" s="2">
        <v>216</v>
      </c>
      <c r="D75" s="2">
        <v>83</v>
      </c>
      <c r="E75" s="104">
        <v>2</v>
      </c>
      <c r="F75" s="75">
        <f>'Masters (1 yr) Additive'!V74/E75</f>
        <v>0</v>
      </c>
      <c r="G75" s="43">
        <v>0.48609999999999998</v>
      </c>
      <c r="H75" s="43">
        <v>0.45629999999999998</v>
      </c>
      <c r="I75" s="39">
        <v>1.77</v>
      </c>
      <c r="J75" s="76">
        <f>(1-0)/73</f>
        <v>1.3698630136986301E-2</v>
      </c>
      <c r="K75" s="76">
        <f>72/73</f>
        <v>0.98630136986301364</v>
      </c>
      <c r="L75" s="104">
        <v>96</v>
      </c>
    </row>
    <row r="76" spans="1:12" x14ac:dyDescent="0.25">
      <c r="A76" s="3" t="s">
        <v>35</v>
      </c>
      <c r="B76" s="3" t="s">
        <v>238</v>
      </c>
      <c r="C76" s="2">
        <v>216</v>
      </c>
      <c r="D76" s="2">
        <v>83</v>
      </c>
      <c r="E76" s="104">
        <v>204</v>
      </c>
      <c r="F76" s="75">
        <f>'Masters (1 yr) Additive'!V75/E76</f>
        <v>0.15686274509803921</v>
      </c>
      <c r="G76" s="43">
        <v>0.48609999999999998</v>
      </c>
      <c r="H76" s="43">
        <v>0.45629999999999998</v>
      </c>
      <c r="I76" s="39">
        <v>1.77</v>
      </c>
      <c r="J76" s="76">
        <f>(18-3)/299</f>
        <v>5.016722408026756E-2</v>
      </c>
      <c r="K76" s="76">
        <f>281/299</f>
        <v>0.93979933110367897</v>
      </c>
      <c r="L76" s="104">
        <v>538</v>
      </c>
    </row>
    <row r="77" spans="1:12" x14ac:dyDescent="0.25">
      <c r="A77" s="3" t="s">
        <v>316</v>
      </c>
      <c r="B77" s="3" t="s">
        <v>238</v>
      </c>
      <c r="C77" s="2">
        <v>212</v>
      </c>
      <c r="D77" s="2">
        <v>503</v>
      </c>
      <c r="E77" s="104">
        <v>306</v>
      </c>
      <c r="F77" s="75">
        <f>'Masters (1 yr) Additive'!V76/E77</f>
        <v>4.5751633986928102E-2</v>
      </c>
      <c r="G77" s="43">
        <v>0.78680000000000005</v>
      </c>
      <c r="H77" s="43">
        <v>0.3493</v>
      </c>
      <c r="I77" s="39">
        <v>1.77</v>
      </c>
      <c r="J77" s="76">
        <f>(11-0)/121</f>
        <v>9.0909090909090912E-2</v>
      </c>
      <c r="K77" s="76">
        <f>110/121</f>
        <v>0.90909090909090906</v>
      </c>
      <c r="L77" s="104">
        <v>404</v>
      </c>
    </row>
    <row r="78" spans="1:12" x14ac:dyDescent="0.25">
      <c r="A78" s="88" t="s">
        <v>260</v>
      </c>
      <c r="B78" s="88" t="s">
        <v>238</v>
      </c>
      <c r="C78" s="89">
        <v>211</v>
      </c>
      <c r="D78" s="89">
        <v>84</v>
      </c>
      <c r="E78" s="116">
        <v>26</v>
      </c>
      <c r="F78" s="75">
        <f>'Masters (1 yr) Additive'!V77/E78</f>
        <v>0.11538461538461539</v>
      </c>
      <c r="G78" s="93">
        <v>0.2838</v>
      </c>
      <c r="H78" s="93">
        <v>0.84619999999999995</v>
      </c>
      <c r="I78" s="92">
        <v>2.35</v>
      </c>
      <c r="J78" s="94">
        <f>(9-2)/53</f>
        <v>0.13207547169811321</v>
      </c>
      <c r="K78" s="94">
        <f>44/53</f>
        <v>0.83018867924528306</v>
      </c>
      <c r="L78" s="116">
        <v>79</v>
      </c>
    </row>
    <row r="79" spans="1:12" x14ac:dyDescent="0.25">
      <c r="A79" s="3" t="s">
        <v>117</v>
      </c>
      <c r="B79" s="3" t="s">
        <v>64</v>
      </c>
      <c r="C79" s="2">
        <v>212</v>
      </c>
      <c r="D79" s="2">
        <v>485</v>
      </c>
      <c r="E79" s="104">
        <v>124</v>
      </c>
      <c r="F79" s="75">
        <f>'Masters (1 yr) Additive'!V78/E79</f>
        <v>0.14516129032258066</v>
      </c>
      <c r="G79" s="43">
        <v>0.70279999999999998</v>
      </c>
      <c r="H79" s="43">
        <v>0.71730000000000005</v>
      </c>
      <c r="I79" s="39">
        <v>0.96</v>
      </c>
      <c r="J79" s="76">
        <f>(14-0)/237</f>
        <v>5.9071729957805907E-2</v>
      </c>
      <c r="K79" s="76">
        <f>223/237</f>
        <v>0.94092827004219415</v>
      </c>
      <c r="L79" s="104">
        <v>608</v>
      </c>
    </row>
    <row r="80" spans="1:12" x14ac:dyDescent="0.25">
      <c r="A80" s="3" t="s">
        <v>77</v>
      </c>
      <c r="B80" s="3" t="s">
        <v>64</v>
      </c>
      <c r="C80" s="2">
        <v>222</v>
      </c>
      <c r="D80" s="2">
        <v>88</v>
      </c>
      <c r="E80" s="104">
        <v>0</v>
      </c>
      <c r="F80" s="75">
        <v>0</v>
      </c>
      <c r="G80" s="43">
        <v>0.5484</v>
      </c>
      <c r="H80" s="43">
        <v>0.64710000000000001</v>
      </c>
      <c r="I80" s="104" t="s">
        <v>451</v>
      </c>
      <c r="J80" s="76">
        <f>(3-1)/6</f>
        <v>0.33333333333333331</v>
      </c>
      <c r="K80" s="76">
        <f>3/6</f>
        <v>0.5</v>
      </c>
      <c r="L80" s="104">
        <v>1</v>
      </c>
    </row>
    <row r="81" spans="1:12" x14ac:dyDescent="0.25">
      <c r="A81" s="3" t="s">
        <v>79</v>
      </c>
      <c r="B81" s="3" t="s">
        <v>64</v>
      </c>
      <c r="C81" s="2">
        <v>222</v>
      </c>
      <c r="D81" s="2">
        <v>89</v>
      </c>
      <c r="E81" s="104">
        <v>19</v>
      </c>
      <c r="F81" s="75">
        <f>'Masters (1 yr) Additive'!V80/E81</f>
        <v>0.36842105263157893</v>
      </c>
      <c r="G81" s="43">
        <v>0.59330000000000005</v>
      </c>
      <c r="H81" s="43">
        <v>0.49440000000000001</v>
      </c>
      <c r="I81" s="104">
        <v>1.85</v>
      </c>
      <c r="J81" s="76">
        <f>(7-0)/39</f>
        <v>0.17948717948717949</v>
      </c>
      <c r="K81" s="76">
        <f>32/39</f>
        <v>0.82051282051282048</v>
      </c>
      <c r="L81" s="104">
        <v>64</v>
      </c>
    </row>
    <row r="82" spans="1:12" x14ac:dyDescent="0.25">
      <c r="A82" s="3" t="s">
        <v>81</v>
      </c>
      <c r="B82" s="3" t="s">
        <v>64</v>
      </c>
      <c r="C82" s="2">
        <v>222</v>
      </c>
      <c r="D82" s="2">
        <v>90</v>
      </c>
      <c r="E82" s="104">
        <v>12</v>
      </c>
      <c r="F82" s="75">
        <f>'Masters (1 yr) Additive'!V81/E82</f>
        <v>8.3333333333333329E-2</v>
      </c>
      <c r="G82" s="43">
        <v>0.35210000000000002</v>
      </c>
      <c r="H82" s="43">
        <v>0.5333</v>
      </c>
      <c r="I82" s="104">
        <v>2.02</v>
      </c>
      <c r="J82" s="76">
        <f>(3-0)/22</f>
        <v>0.13636363636363635</v>
      </c>
      <c r="K82" s="76">
        <f>19/22</f>
        <v>0.86363636363636365</v>
      </c>
      <c r="L82" s="104">
        <v>34</v>
      </c>
    </row>
    <row r="83" spans="1:12" x14ac:dyDescent="0.25">
      <c r="A83" s="3" t="s">
        <v>300</v>
      </c>
      <c r="B83" s="3" t="s">
        <v>238</v>
      </c>
      <c r="C83" s="2">
        <v>212</v>
      </c>
      <c r="D83" s="2">
        <v>460</v>
      </c>
      <c r="E83" s="104">
        <v>143</v>
      </c>
      <c r="F83" s="75">
        <f>'Masters (1 yr) Additive'!V82/E83</f>
        <v>0.24475524475524477</v>
      </c>
      <c r="G83" s="43">
        <v>0.71789999999999998</v>
      </c>
      <c r="H83" s="43">
        <v>0.79020000000000001</v>
      </c>
      <c r="I83" s="104">
        <v>0.97</v>
      </c>
      <c r="J83" s="76">
        <f>(39-1)/371</f>
        <v>0.10242587601078167</v>
      </c>
      <c r="K83" s="76">
        <f>332/371</f>
        <v>0.89487870619946097</v>
      </c>
      <c r="L83" s="104">
        <v>537</v>
      </c>
    </row>
    <row r="84" spans="1:12" x14ac:dyDescent="0.25">
      <c r="A84" s="3" t="s">
        <v>14</v>
      </c>
      <c r="B84" s="3" t="s">
        <v>124</v>
      </c>
      <c r="C84" s="2">
        <v>215</v>
      </c>
      <c r="D84" s="2">
        <v>91</v>
      </c>
      <c r="E84" s="104">
        <v>0</v>
      </c>
      <c r="F84" s="75">
        <v>0</v>
      </c>
      <c r="G84" s="43">
        <v>0.44390000000000002</v>
      </c>
      <c r="H84" s="43">
        <v>0.59770000000000001</v>
      </c>
      <c r="I84" s="104">
        <v>2.97</v>
      </c>
      <c r="J84" s="76">
        <f>(0-0)/1</f>
        <v>0</v>
      </c>
      <c r="K84" s="76">
        <f>1/1</f>
        <v>1</v>
      </c>
      <c r="L84" s="104">
        <v>1</v>
      </c>
    </row>
    <row r="85" spans="1:12" x14ac:dyDescent="0.25">
      <c r="A85" s="3" t="s">
        <v>140</v>
      </c>
      <c r="B85" s="3" t="s">
        <v>141</v>
      </c>
      <c r="C85" s="2">
        <v>220</v>
      </c>
      <c r="D85" s="2">
        <v>92</v>
      </c>
      <c r="E85" s="104">
        <v>264</v>
      </c>
      <c r="F85" s="75">
        <f>'Masters (1 yr) Additive'!V84/E85</f>
        <v>0.21212121212121213</v>
      </c>
      <c r="G85" s="43">
        <v>0.45379999999999998</v>
      </c>
      <c r="H85" s="43">
        <v>0.45689999999999997</v>
      </c>
      <c r="I85" s="104">
        <v>2.04</v>
      </c>
      <c r="J85" s="76">
        <f>(40-4)/185</f>
        <v>0.19459459459459461</v>
      </c>
      <c r="K85" s="76">
        <f>145/185</f>
        <v>0.78378378378378377</v>
      </c>
      <c r="L85" s="104">
        <v>240</v>
      </c>
    </row>
    <row r="86" spans="1:12" x14ac:dyDescent="0.25">
      <c r="A86" s="3" t="s">
        <v>168</v>
      </c>
      <c r="B86" s="3" t="s">
        <v>159</v>
      </c>
      <c r="C86" s="2">
        <v>216</v>
      </c>
      <c r="D86" s="2">
        <v>93</v>
      </c>
      <c r="E86" s="104">
        <v>1</v>
      </c>
      <c r="F86" s="75">
        <f>'Masters (1 yr) Additive'!V85/E86</f>
        <v>0</v>
      </c>
      <c r="G86" s="43">
        <v>0.68279999999999996</v>
      </c>
      <c r="H86" s="43">
        <v>0.25750000000000001</v>
      </c>
      <c r="I86" s="104" t="s">
        <v>451</v>
      </c>
      <c r="J86" s="76">
        <f>(2-0)/2</f>
        <v>1</v>
      </c>
      <c r="K86" s="76">
        <f>0/2</f>
        <v>0</v>
      </c>
      <c r="L86" s="104">
        <v>0</v>
      </c>
    </row>
    <row r="87" spans="1:12" x14ac:dyDescent="0.25">
      <c r="A87" s="3" t="s">
        <v>168</v>
      </c>
      <c r="B87" s="3" t="s">
        <v>238</v>
      </c>
      <c r="C87" s="2">
        <v>216</v>
      </c>
      <c r="D87" s="2">
        <v>93</v>
      </c>
      <c r="E87" s="104">
        <v>192</v>
      </c>
      <c r="F87" s="75">
        <f>'Masters (1 yr) Additive'!V86/E87</f>
        <v>3.6458333333333336E-2</v>
      </c>
      <c r="G87" s="43">
        <v>0.68279999999999996</v>
      </c>
      <c r="H87" s="43">
        <v>0.25750000000000001</v>
      </c>
      <c r="I87" s="104">
        <v>1.77</v>
      </c>
      <c r="J87" s="76">
        <f>(61-8)/179</f>
        <v>0.29608938547486036</v>
      </c>
      <c r="K87" s="76">
        <f>118/179</f>
        <v>0.65921787709497204</v>
      </c>
      <c r="L87" s="104">
        <v>261</v>
      </c>
    </row>
    <row r="88" spans="1:12" x14ac:dyDescent="0.25">
      <c r="A88" s="143" t="s">
        <v>83</v>
      </c>
      <c r="B88" s="143" t="s">
        <v>64</v>
      </c>
      <c r="C88" s="144">
        <v>222</v>
      </c>
      <c r="D88" s="144">
        <v>94</v>
      </c>
      <c r="E88" s="112">
        <v>0</v>
      </c>
      <c r="F88" s="75">
        <v>0</v>
      </c>
      <c r="G88" s="52">
        <v>0.2457</v>
      </c>
      <c r="H88" s="52">
        <v>0.4884</v>
      </c>
      <c r="I88" s="112" t="s">
        <v>451</v>
      </c>
      <c r="J88" s="77" t="s">
        <v>451</v>
      </c>
      <c r="K88" s="77" t="s">
        <v>451</v>
      </c>
      <c r="L88" s="112">
        <v>0</v>
      </c>
    </row>
    <row r="89" spans="1:12" x14ac:dyDescent="0.25">
      <c r="A89" s="3" t="s">
        <v>83</v>
      </c>
      <c r="B89" s="3" t="s">
        <v>238</v>
      </c>
      <c r="C89" s="2">
        <v>222</v>
      </c>
      <c r="D89" s="2">
        <v>94</v>
      </c>
      <c r="E89" s="112">
        <v>13</v>
      </c>
      <c r="F89" s="75">
        <f>'Masters (1 yr) Additive'!V88/E89</f>
        <v>7.6923076923076927E-2</v>
      </c>
      <c r="G89" s="52">
        <v>0.2457</v>
      </c>
      <c r="H89" s="52">
        <v>0.4884</v>
      </c>
      <c r="I89" s="112">
        <v>1.77</v>
      </c>
      <c r="J89" s="77">
        <f>(18-6)/59</f>
        <v>0.20338983050847459</v>
      </c>
      <c r="K89" s="77">
        <f>41/59</f>
        <v>0.69491525423728817</v>
      </c>
      <c r="L89" s="112">
        <v>69</v>
      </c>
    </row>
    <row r="90" spans="1:12" x14ac:dyDescent="0.25">
      <c r="A90" s="3" t="s">
        <v>131</v>
      </c>
      <c r="B90" s="3" t="s">
        <v>124</v>
      </c>
      <c r="C90" s="2">
        <v>215</v>
      </c>
      <c r="D90" s="2">
        <v>95</v>
      </c>
      <c r="E90" s="104">
        <v>4</v>
      </c>
      <c r="F90" s="75">
        <f>'Masters (1 yr) Additive'!V89/E90</f>
        <v>0</v>
      </c>
      <c r="G90" s="43">
        <v>0.56669999999999998</v>
      </c>
      <c r="H90" s="43">
        <v>0.73529999999999995</v>
      </c>
      <c r="I90" s="104">
        <v>1.77</v>
      </c>
      <c r="J90" s="77">
        <f>(2-0)/3</f>
        <v>0.66666666666666663</v>
      </c>
      <c r="K90" s="77">
        <f>1/3</f>
        <v>0.33333333333333331</v>
      </c>
      <c r="L90" s="104">
        <v>7</v>
      </c>
    </row>
    <row r="91" spans="1:12" x14ac:dyDescent="0.25">
      <c r="A91" s="3" t="s">
        <v>170</v>
      </c>
      <c r="B91" s="3" t="s">
        <v>159</v>
      </c>
      <c r="C91" s="2">
        <v>216</v>
      </c>
      <c r="D91" s="2">
        <v>96</v>
      </c>
      <c r="E91" s="104">
        <v>14</v>
      </c>
      <c r="F91" s="75">
        <f>'Masters (1 yr) Additive'!V90/E91</f>
        <v>7.1428571428571425E-2</v>
      </c>
      <c r="G91" s="43">
        <v>0.47560000000000002</v>
      </c>
      <c r="H91" s="43">
        <v>0.40210000000000001</v>
      </c>
      <c r="I91" s="104">
        <v>2.06</v>
      </c>
      <c r="J91" s="77">
        <f>(2-1)/2</f>
        <v>0.5</v>
      </c>
      <c r="K91" s="77">
        <f>0/2</f>
        <v>0</v>
      </c>
      <c r="L91" s="104">
        <v>8</v>
      </c>
    </row>
    <row r="92" spans="1:12" x14ac:dyDescent="0.25">
      <c r="A92" s="3" t="s">
        <v>170</v>
      </c>
      <c r="B92" s="3" t="s">
        <v>238</v>
      </c>
      <c r="C92" s="2">
        <v>216</v>
      </c>
      <c r="D92" s="2">
        <v>96</v>
      </c>
      <c r="E92" s="104">
        <v>230</v>
      </c>
      <c r="F92" s="75">
        <f>'Masters (1 yr) Additive'!V91/E92</f>
        <v>3.9130434782608699E-2</v>
      </c>
      <c r="G92" s="43">
        <v>0.47560000000000002</v>
      </c>
      <c r="H92" s="43">
        <v>0.40210000000000001</v>
      </c>
      <c r="I92" s="104">
        <v>1.77</v>
      </c>
      <c r="J92" s="77">
        <f>(48-4)/245</f>
        <v>0.17959183673469387</v>
      </c>
      <c r="K92" s="77">
        <f>197/245</f>
        <v>0.80408163265306121</v>
      </c>
      <c r="L92" s="104">
        <v>464</v>
      </c>
    </row>
    <row r="93" spans="1:12" x14ac:dyDescent="0.25">
      <c r="A93" s="3" t="s">
        <v>263</v>
      </c>
      <c r="B93" s="3" t="s">
        <v>238</v>
      </c>
      <c r="C93" s="2">
        <v>223</v>
      </c>
      <c r="D93" s="2">
        <v>97</v>
      </c>
      <c r="E93" s="104">
        <v>17</v>
      </c>
      <c r="F93" s="75">
        <f>'Masters (1 yr) Additive'!V92/E93</f>
        <v>0.23529411764705882</v>
      </c>
      <c r="G93" s="43">
        <v>0.48</v>
      </c>
      <c r="H93" s="43">
        <v>0.80559999999999998</v>
      </c>
      <c r="I93" s="104">
        <v>2.0299999999999998</v>
      </c>
      <c r="J93" s="77">
        <f>(12-3)/61</f>
        <v>0.14754098360655737</v>
      </c>
      <c r="K93" s="77">
        <f>49/61</f>
        <v>0.80327868852459017</v>
      </c>
      <c r="L93" s="104">
        <v>81</v>
      </c>
    </row>
    <row r="94" spans="1:12" x14ac:dyDescent="0.25">
      <c r="A94" s="3" t="s">
        <v>16</v>
      </c>
      <c r="B94" s="3" t="s">
        <v>124</v>
      </c>
      <c r="C94" s="2">
        <v>215</v>
      </c>
      <c r="D94" s="2">
        <v>98</v>
      </c>
      <c r="E94" s="104">
        <v>4</v>
      </c>
      <c r="F94" s="75">
        <f>'Masters (1 yr) Additive'!V93/E94</f>
        <v>0.25</v>
      </c>
      <c r="G94" s="43">
        <v>0.3024</v>
      </c>
      <c r="H94" s="43">
        <v>0.69350000000000001</v>
      </c>
      <c r="I94" s="104">
        <v>2.77</v>
      </c>
      <c r="J94" s="77">
        <f>(0-0)/2</f>
        <v>0</v>
      </c>
      <c r="K94" s="77">
        <f>2/2</f>
        <v>1</v>
      </c>
      <c r="L94" s="104">
        <v>5</v>
      </c>
    </row>
    <row r="95" spans="1:12" x14ac:dyDescent="0.25">
      <c r="A95" s="3" t="s">
        <v>265</v>
      </c>
      <c r="B95" s="3" t="s">
        <v>238</v>
      </c>
      <c r="C95" s="2">
        <v>211</v>
      </c>
      <c r="D95" s="2">
        <v>99</v>
      </c>
      <c r="E95" s="104">
        <v>13</v>
      </c>
      <c r="F95" s="75">
        <f>'Masters (1 yr) Additive'!V94/E95</f>
        <v>0.30769230769230771</v>
      </c>
      <c r="G95" s="43">
        <v>0.34439999999999998</v>
      </c>
      <c r="H95" s="43">
        <v>0.7419</v>
      </c>
      <c r="I95" s="104">
        <v>1.31</v>
      </c>
      <c r="J95" s="77">
        <f>(4-1)/7</f>
        <v>0.42857142857142855</v>
      </c>
      <c r="K95" s="77">
        <f>3/7</f>
        <v>0.42857142857142855</v>
      </c>
      <c r="L95" s="104">
        <v>13</v>
      </c>
    </row>
    <row r="96" spans="1:12" x14ac:dyDescent="0.25">
      <c r="A96" s="3" t="s">
        <v>86</v>
      </c>
      <c r="B96" s="3" t="s">
        <v>64</v>
      </c>
      <c r="C96" s="2">
        <v>217</v>
      </c>
      <c r="D96" s="2">
        <v>100</v>
      </c>
      <c r="E96" s="104">
        <v>14</v>
      </c>
      <c r="F96" s="75">
        <f>'Masters (1 yr) Additive'!V95/E96</f>
        <v>7.1428571428571425E-2</v>
      </c>
      <c r="G96" s="43">
        <v>0.1913</v>
      </c>
      <c r="H96" s="43">
        <v>0.56820000000000004</v>
      </c>
      <c r="I96" s="104">
        <v>2.77</v>
      </c>
      <c r="J96" s="77">
        <f>(2-0)/12</f>
        <v>0.16666666666666666</v>
      </c>
      <c r="K96" s="77">
        <f>10/12</f>
        <v>0.83333333333333337</v>
      </c>
      <c r="L96" s="104">
        <v>21</v>
      </c>
    </row>
    <row r="97" spans="1:12" x14ac:dyDescent="0.25">
      <c r="A97" s="3" t="s">
        <v>172</v>
      </c>
      <c r="B97" s="3" t="s">
        <v>159</v>
      </c>
      <c r="C97" s="2">
        <v>216</v>
      </c>
      <c r="D97" s="2">
        <v>103</v>
      </c>
      <c r="E97" s="104">
        <v>0</v>
      </c>
      <c r="F97" s="75">
        <v>0</v>
      </c>
      <c r="G97" s="43">
        <v>0.29630000000000001</v>
      </c>
      <c r="H97" s="43">
        <v>0.45829999999999999</v>
      </c>
      <c r="I97" s="104" t="s">
        <v>451</v>
      </c>
      <c r="J97" s="77">
        <f>(0-0)/1</f>
        <v>0</v>
      </c>
      <c r="K97" s="77">
        <f>1/1</f>
        <v>1</v>
      </c>
      <c r="L97" s="104">
        <v>1</v>
      </c>
    </row>
    <row r="98" spans="1:12" x14ac:dyDescent="0.25">
      <c r="A98" s="3" t="s">
        <v>172</v>
      </c>
      <c r="B98" s="3" t="s">
        <v>238</v>
      </c>
      <c r="C98" s="2">
        <v>216</v>
      </c>
      <c r="D98" s="2">
        <v>103</v>
      </c>
      <c r="E98" s="104">
        <v>11</v>
      </c>
      <c r="F98" s="75">
        <f>'Masters (1 yr) Additive'!V97/E98</f>
        <v>9.0909090909090912E-2</v>
      </c>
      <c r="G98" s="43">
        <v>0.29630000000000001</v>
      </c>
      <c r="H98" s="43">
        <v>0.45829999999999999</v>
      </c>
      <c r="I98" s="104">
        <v>1.99</v>
      </c>
      <c r="J98" s="77">
        <f>(5-1)/55</f>
        <v>7.2727272727272724E-2</v>
      </c>
      <c r="K98" s="77">
        <f>50/55</f>
        <v>0.90909090909090906</v>
      </c>
      <c r="L98" s="104">
        <v>63</v>
      </c>
    </row>
    <row r="99" spans="1:12" x14ac:dyDescent="0.25">
      <c r="A99" s="3" t="s">
        <v>327</v>
      </c>
      <c r="B99" s="3" t="s">
        <v>328</v>
      </c>
      <c r="C99" s="2">
        <v>226</v>
      </c>
      <c r="D99" s="2">
        <v>107</v>
      </c>
      <c r="E99" s="104">
        <v>476</v>
      </c>
      <c r="F99" s="75">
        <f>'Masters (1 yr) Additive'!V98/E99</f>
        <v>0.18277310924369747</v>
      </c>
      <c r="G99" s="43">
        <v>0.65239999999999998</v>
      </c>
      <c r="H99" s="43">
        <v>0.84050000000000002</v>
      </c>
      <c r="I99" s="104">
        <v>1.77</v>
      </c>
      <c r="J99" s="77">
        <f>(133-3)/508</f>
        <v>0.25590551181102361</v>
      </c>
      <c r="K99" s="77">
        <f>375/508</f>
        <v>0.73818897637795278</v>
      </c>
      <c r="L99" s="104">
        <v>797</v>
      </c>
    </row>
    <row r="100" spans="1:12" x14ac:dyDescent="0.25">
      <c r="A100" s="3" t="s">
        <v>88</v>
      </c>
      <c r="B100" s="3" t="s">
        <v>64</v>
      </c>
      <c r="C100" s="2">
        <v>222</v>
      </c>
      <c r="D100" s="2">
        <v>108</v>
      </c>
      <c r="E100" s="104">
        <v>7</v>
      </c>
      <c r="F100" s="75">
        <f>'Masters (1 yr) Additive'!V99/E100</f>
        <v>0</v>
      </c>
      <c r="G100" s="43">
        <v>0.28210000000000002</v>
      </c>
      <c r="H100" s="43">
        <v>0.63639999999999997</v>
      </c>
      <c r="I100" s="104">
        <v>1.62</v>
      </c>
      <c r="J100" s="77">
        <f>(0-0)/8</f>
        <v>0</v>
      </c>
      <c r="K100" s="77">
        <f>8/8</f>
        <v>1</v>
      </c>
      <c r="L100" s="104">
        <v>10</v>
      </c>
    </row>
    <row r="101" spans="1:12" x14ac:dyDescent="0.25">
      <c r="A101" s="3" t="s">
        <v>267</v>
      </c>
      <c r="B101" s="3" t="s">
        <v>238</v>
      </c>
      <c r="C101" s="2">
        <v>222</v>
      </c>
      <c r="D101" s="2">
        <v>110</v>
      </c>
      <c r="E101" s="104">
        <v>5</v>
      </c>
      <c r="F101" s="75">
        <f>'Masters (1 yr) Additive'!V100/E101</f>
        <v>0</v>
      </c>
      <c r="G101" s="43">
        <v>0</v>
      </c>
      <c r="H101" s="43">
        <v>0</v>
      </c>
      <c r="I101" s="104">
        <v>0.38</v>
      </c>
      <c r="J101" s="77">
        <f>(1-0)/43</f>
        <v>2.3255813953488372E-2</v>
      </c>
      <c r="K101" s="77">
        <f>42/43</f>
        <v>0.97674418604651159</v>
      </c>
      <c r="L101" s="104">
        <v>63</v>
      </c>
    </row>
    <row r="102" spans="1:12" x14ac:dyDescent="0.25">
      <c r="A102" s="3" t="s">
        <v>269</v>
      </c>
      <c r="B102" s="3" t="s">
        <v>238</v>
      </c>
      <c r="C102" s="2">
        <v>211</v>
      </c>
      <c r="D102" s="2">
        <v>112</v>
      </c>
      <c r="E102" s="104">
        <v>1</v>
      </c>
      <c r="F102" s="75">
        <f>'Masters (1 yr) Additive'!V101/E102</f>
        <v>0</v>
      </c>
      <c r="G102" s="43">
        <v>0.1111</v>
      </c>
      <c r="H102" s="43">
        <v>1</v>
      </c>
      <c r="I102" s="104">
        <v>1.29</v>
      </c>
      <c r="J102" s="77">
        <f>(1-0)/4</f>
        <v>0.25</v>
      </c>
      <c r="K102" s="77">
        <f>3/4</f>
        <v>0.75</v>
      </c>
      <c r="L102" s="104">
        <v>7</v>
      </c>
    </row>
    <row r="103" spans="1:12" x14ac:dyDescent="0.25">
      <c r="A103" s="3" t="s">
        <v>269</v>
      </c>
      <c r="B103" s="3" t="s">
        <v>238</v>
      </c>
      <c r="C103" s="2">
        <v>222</v>
      </c>
      <c r="D103" s="2">
        <v>112</v>
      </c>
      <c r="E103" s="104">
        <v>0</v>
      </c>
      <c r="F103" s="75">
        <v>0</v>
      </c>
      <c r="G103" s="43">
        <v>0</v>
      </c>
      <c r="H103" s="43">
        <v>0</v>
      </c>
      <c r="I103" s="104" t="s">
        <v>451</v>
      </c>
      <c r="J103" s="77" t="s">
        <v>451</v>
      </c>
      <c r="K103" s="77" t="s">
        <v>451</v>
      </c>
      <c r="L103" s="104">
        <v>0</v>
      </c>
    </row>
    <row r="104" spans="1:12" x14ac:dyDescent="0.25">
      <c r="A104" s="3" t="s">
        <v>271</v>
      </c>
      <c r="B104" s="3" t="s">
        <v>238</v>
      </c>
      <c r="C104" s="2">
        <v>211</v>
      </c>
      <c r="D104" s="2">
        <v>113</v>
      </c>
      <c r="E104" s="104">
        <v>12</v>
      </c>
      <c r="F104" s="75">
        <f>'Masters (1 yr) Additive'!V103/E104</f>
        <v>8.3333333333333329E-2</v>
      </c>
      <c r="G104" s="43">
        <v>0.31109999999999999</v>
      </c>
      <c r="H104" s="43">
        <v>0.92859999999999998</v>
      </c>
      <c r="I104" s="104">
        <v>2.38</v>
      </c>
      <c r="J104" s="77">
        <f>(2-1)/9</f>
        <v>0.1111111111111111</v>
      </c>
      <c r="K104" s="77">
        <f>7/9</f>
        <v>0.77777777777777779</v>
      </c>
      <c r="L104" s="104">
        <v>17</v>
      </c>
    </row>
    <row r="105" spans="1:12" x14ac:dyDescent="0.25">
      <c r="A105" s="3" t="s">
        <v>90</v>
      </c>
      <c r="B105" s="3" t="s">
        <v>64</v>
      </c>
      <c r="C105" s="2">
        <v>222</v>
      </c>
      <c r="D105" s="2">
        <v>114</v>
      </c>
      <c r="E105" s="104">
        <v>45</v>
      </c>
      <c r="F105" s="75">
        <f>'Masters (1 yr) Additive'!V104/E105</f>
        <v>0.2</v>
      </c>
      <c r="G105" s="43">
        <v>0.52429999999999999</v>
      </c>
      <c r="H105" s="43">
        <v>0.52980000000000005</v>
      </c>
      <c r="I105" s="104">
        <v>1.37</v>
      </c>
      <c r="J105" s="77">
        <f>(23-1)/81</f>
        <v>0.27160493827160492</v>
      </c>
      <c r="K105" s="77">
        <f>58/81</f>
        <v>0.71604938271604934</v>
      </c>
      <c r="L105" s="104">
        <v>120</v>
      </c>
    </row>
    <row r="106" spans="1:12" x14ac:dyDescent="0.25">
      <c r="A106" s="3" t="s">
        <v>102</v>
      </c>
      <c r="B106" s="3" t="s">
        <v>64</v>
      </c>
      <c r="C106" s="2">
        <v>222</v>
      </c>
      <c r="D106" s="2">
        <v>142</v>
      </c>
      <c r="E106" s="104">
        <v>7</v>
      </c>
      <c r="F106" s="75">
        <f>'Masters (1 yr) Additive'!V105/E106</f>
        <v>0</v>
      </c>
      <c r="G106" s="43">
        <v>0.17100000000000001</v>
      </c>
      <c r="H106" s="43">
        <v>0.3261</v>
      </c>
      <c r="I106" s="104">
        <v>1.77</v>
      </c>
      <c r="J106" s="77">
        <f>(2-0)/10</f>
        <v>0.2</v>
      </c>
      <c r="K106" s="77">
        <f>8/10</f>
        <v>0.8</v>
      </c>
      <c r="L106" s="104">
        <v>13</v>
      </c>
    </row>
    <row r="107" spans="1:12" x14ac:dyDescent="0.25">
      <c r="A107" s="3" t="s">
        <v>92</v>
      </c>
      <c r="B107" s="3" t="s">
        <v>64</v>
      </c>
      <c r="C107" s="2">
        <v>219</v>
      </c>
      <c r="D107" s="2">
        <v>115</v>
      </c>
      <c r="E107" s="104">
        <v>0</v>
      </c>
      <c r="F107" s="140">
        <v>0</v>
      </c>
      <c r="G107" s="52">
        <v>0</v>
      </c>
      <c r="H107" s="52">
        <v>0</v>
      </c>
      <c r="I107" s="104" t="s">
        <v>451</v>
      </c>
      <c r="J107" s="77" t="s">
        <v>451</v>
      </c>
      <c r="K107" s="77" t="s">
        <v>451</v>
      </c>
      <c r="L107" s="104">
        <v>0</v>
      </c>
    </row>
    <row r="108" spans="1:12" x14ac:dyDescent="0.25">
      <c r="A108" s="3" t="s">
        <v>92</v>
      </c>
      <c r="B108" s="3" t="s">
        <v>64</v>
      </c>
      <c r="C108" s="2">
        <v>222</v>
      </c>
      <c r="D108" s="2">
        <v>115</v>
      </c>
      <c r="E108" s="104">
        <v>0</v>
      </c>
      <c r="F108" s="140">
        <v>0</v>
      </c>
      <c r="G108" s="52">
        <v>3.5700000000000003E-2</v>
      </c>
      <c r="H108" s="52">
        <v>1</v>
      </c>
      <c r="I108" s="104" t="s">
        <v>451</v>
      </c>
      <c r="J108" s="77" t="s">
        <v>451</v>
      </c>
      <c r="K108" s="77" t="s">
        <v>451</v>
      </c>
      <c r="L108" s="104">
        <v>0</v>
      </c>
    </row>
    <row r="109" spans="1:12" x14ac:dyDescent="0.25">
      <c r="A109" s="3" t="s">
        <v>92</v>
      </c>
      <c r="B109" s="3" t="s">
        <v>238</v>
      </c>
      <c r="C109" s="2">
        <v>222</v>
      </c>
      <c r="D109" s="2">
        <v>115</v>
      </c>
      <c r="E109" s="104">
        <v>39</v>
      </c>
      <c r="F109" s="140">
        <f>'Masters (1 yr) Additive'!V108/E109</f>
        <v>0.10256410256410256</v>
      </c>
      <c r="G109" s="52">
        <v>3.5700000000000003E-2</v>
      </c>
      <c r="H109" s="52">
        <v>1</v>
      </c>
      <c r="I109" s="104">
        <v>1.77</v>
      </c>
      <c r="J109" s="77">
        <f>(18-3)/50</f>
        <v>0.3</v>
      </c>
      <c r="K109" s="77">
        <f>32/50</f>
        <v>0.64</v>
      </c>
      <c r="L109" s="104">
        <v>69</v>
      </c>
    </row>
    <row r="110" spans="1:12" x14ac:dyDescent="0.25">
      <c r="A110" s="3" t="s">
        <v>92</v>
      </c>
      <c r="B110" s="3" t="s">
        <v>238</v>
      </c>
      <c r="C110" s="2">
        <v>219</v>
      </c>
      <c r="D110" s="2">
        <v>115</v>
      </c>
      <c r="E110" s="104">
        <v>17</v>
      </c>
      <c r="F110" s="140">
        <f>'Masters (1 yr) Additive'!V109/E110</f>
        <v>0.23529411764705882</v>
      </c>
      <c r="G110" s="52">
        <v>0</v>
      </c>
      <c r="H110" s="52">
        <v>0</v>
      </c>
      <c r="I110" s="104">
        <v>0.94</v>
      </c>
      <c r="J110" s="77">
        <f>(0-0)/39</f>
        <v>0</v>
      </c>
      <c r="K110" s="77">
        <f>39/39</f>
        <v>1</v>
      </c>
      <c r="L110" s="104">
        <v>68</v>
      </c>
    </row>
    <row r="111" spans="1:12" x14ac:dyDescent="0.25">
      <c r="A111" s="3" t="s">
        <v>132</v>
      </c>
      <c r="B111" s="3" t="s">
        <v>124</v>
      </c>
      <c r="C111" s="2">
        <v>215</v>
      </c>
      <c r="D111" s="2">
        <v>117</v>
      </c>
      <c r="E111" s="104">
        <v>0</v>
      </c>
      <c r="F111" s="75">
        <v>0</v>
      </c>
      <c r="G111" s="43">
        <v>0.6129</v>
      </c>
      <c r="H111" s="43">
        <v>0.73680000000000001</v>
      </c>
      <c r="I111" s="104">
        <v>0.19</v>
      </c>
      <c r="J111" s="77" t="s">
        <v>451</v>
      </c>
      <c r="K111" s="77" t="s">
        <v>451</v>
      </c>
      <c r="L111" s="104">
        <v>1</v>
      </c>
    </row>
    <row r="112" spans="1:12" x14ac:dyDescent="0.25">
      <c r="A112" s="3" t="s">
        <v>308</v>
      </c>
      <c r="B112" s="3" t="s">
        <v>238</v>
      </c>
      <c r="C112" s="2">
        <v>212</v>
      </c>
      <c r="D112" s="2">
        <v>473</v>
      </c>
      <c r="E112" s="104">
        <v>29</v>
      </c>
      <c r="F112" s="75">
        <f>'Masters (1 yr) Additive'!V111/E112</f>
        <v>3.4482758620689655E-2</v>
      </c>
      <c r="G112" s="43">
        <v>0.68440000000000001</v>
      </c>
      <c r="H112" s="43">
        <v>0.70660000000000001</v>
      </c>
      <c r="I112" s="104">
        <v>0.93</v>
      </c>
      <c r="J112" s="77">
        <f>(4-1)/83</f>
        <v>3.614457831325301E-2</v>
      </c>
      <c r="K112" s="77">
        <f>79/83</f>
        <v>0.95180722891566261</v>
      </c>
      <c r="L112" s="104">
        <v>124</v>
      </c>
    </row>
    <row r="113" spans="1:12" x14ac:dyDescent="0.25">
      <c r="A113" s="3" t="s">
        <v>304</v>
      </c>
      <c r="B113" s="3" t="s">
        <v>238</v>
      </c>
      <c r="C113" s="2">
        <v>218</v>
      </c>
      <c r="D113" s="2">
        <v>468</v>
      </c>
      <c r="E113" s="104">
        <v>7</v>
      </c>
      <c r="F113" s="75">
        <f>'Masters (1 yr) Additive'!V112/E113</f>
        <v>0</v>
      </c>
      <c r="G113" s="43">
        <v>0.55189999999999995</v>
      </c>
      <c r="H113" s="43">
        <v>0.64359999999999995</v>
      </c>
      <c r="I113" s="104">
        <v>1.77</v>
      </c>
      <c r="J113" s="77">
        <f>(7-0)/32</f>
        <v>0.21875</v>
      </c>
      <c r="K113" s="77">
        <f>25/32</f>
        <v>0.78125</v>
      </c>
      <c r="L113" s="104">
        <v>58</v>
      </c>
    </row>
    <row r="114" spans="1:12" x14ac:dyDescent="0.25">
      <c r="A114" s="3" t="s">
        <v>94</v>
      </c>
      <c r="B114" s="3" t="s">
        <v>64</v>
      </c>
      <c r="C114" s="2">
        <v>222</v>
      </c>
      <c r="D114" s="2">
        <v>121</v>
      </c>
      <c r="E114" s="104">
        <v>7</v>
      </c>
      <c r="F114" s="75">
        <f>'Masters (1 yr) Additive'!V113/E114</f>
        <v>0</v>
      </c>
      <c r="G114" s="43">
        <v>0.52829999999999999</v>
      </c>
      <c r="H114" s="43">
        <v>0.46429999999999999</v>
      </c>
      <c r="I114" s="104">
        <v>1.77</v>
      </c>
      <c r="J114" s="77">
        <f>(1-0)/7</f>
        <v>0.14285714285714285</v>
      </c>
      <c r="K114" s="77">
        <f>6/7</f>
        <v>0.8571428571428571</v>
      </c>
      <c r="L114" s="104">
        <v>10</v>
      </c>
    </row>
    <row r="115" spans="1:12" x14ac:dyDescent="0.25">
      <c r="A115" s="3" t="s">
        <v>18</v>
      </c>
      <c r="B115" s="3" t="s">
        <v>124</v>
      </c>
      <c r="C115" s="2">
        <v>215</v>
      </c>
      <c r="D115" s="2">
        <v>122</v>
      </c>
      <c r="E115" s="104">
        <v>5</v>
      </c>
      <c r="F115" s="75">
        <f>'Masters (1 yr) Additive'!V114/E115</f>
        <v>0.2</v>
      </c>
      <c r="G115" s="43">
        <v>0.65959999999999996</v>
      </c>
      <c r="H115" s="43">
        <v>0.4516</v>
      </c>
      <c r="I115" s="104">
        <v>2.04</v>
      </c>
      <c r="J115" s="77">
        <f>(0-0)/6</f>
        <v>0</v>
      </c>
      <c r="K115" s="77">
        <f>6/6</f>
        <v>1</v>
      </c>
      <c r="L115" s="104">
        <v>10</v>
      </c>
    </row>
    <row r="116" spans="1:12" x14ac:dyDescent="0.25">
      <c r="A116" s="3" t="s">
        <v>20</v>
      </c>
      <c r="B116" s="3" t="s">
        <v>124</v>
      </c>
      <c r="C116" s="2">
        <v>215</v>
      </c>
      <c r="D116" s="2">
        <v>124</v>
      </c>
      <c r="E116" s="104">
        <v>0</v>
      </c>
      <c r="F116" s="75">
        <v>0</v>
      </c>
      <c r="G116" s="43">
        <v>0.4365</v>
      </c>
      <c r="H116" s="43">
        <v>0.52729999999999999</v>
      </c>
      <c r="I116" s="104" t="s">
        <v>451</v>
      </c>
      <c r="J116" s="77">
        <f>(0-0)/1</f>
        <v>0</v>
      </c>
      <c r="K116" s="77">
        <f>1/1</f>
        <v>1</v>
      </c>
      <c r="L116" s="104">
        <v>1</v>
      </c>
    </row>
    <row r="117" spans="1:12" x14ac:dyDescent="0.25">
      <c r="A117" s="3" t="s">
        <v>22</v>
      </c>
      <c r="B117" s="3" t="s">
        <v>124</v>
      </c>
      <c r="C117" s="2">
        <v>215</v>
      </c>
      <c r="D117" s="2">
        <v>125</v>
      </c>
      <c r="E117" s="104">
        <v>0</v>
      </c>
      <c r="F117" s="75">
        <v>0</v>
      </c>
      <c r="G117" s="43">
        <v>8.3299999999999999E-2</v>
      </c>
      <c r="H117" s="43">
        <v>1</v>
      </c>
      <c r="I117" s="104" t="s">
        <v>451</v>
      </c>
      <c r="J117" s="77" t="s">
        <v>451</v>
      </c>
      <c r="K117" s="77" t="s">
        <v>451</v>
      </c>
      <c r="L117" s="104">
        <v>0</v>
      </c>
    </row>
    <row r="118" spans="1:12" x14ac:dyDescent="0.25">
      <c r="A118" s="3" t="s">
        <v>134</v>
      </c>
      <c r="B118" s="3" t="s">
        <v>124</v>
      </c>
      <c r="C118" s="2">
        <v>215</v>
      </c>
      <c r="D118" s="2">
        <v>126</v>
      </c>
      <c r="E118" s="104">
        <v>35</v>
      </c>
      <c r="F118" s="75">
        <f>'Masters (1 yr) Additive'!V117/E118</f>
        <v>0.11428571428571428</v>
      </c>
      <c r="G118" s="43">
        <v>0.75890000000000002</v>
      </c>
      <c r="H118" s="43">
        <v>0.76470000000000005</v>
      </c>
      <c r="I118" s="104">
        <v>2.48</v>
      </c>
      <c r="J118" s="77">
        <f>(3-0)/5</f>
        <v>0.6</v>
      </c>
      <c r="K118" s="77">
        <f>2/5</f>
        <v>0.4</v>
      </c>
      <c r="L118" s="104">
        <v>4</v>
      </c>
    </row>
    <row r="119" spans="1:12" x14ac:dyDescent="0.25">
      <c r="A119" s="3" t="s">
        <v>136</v>
      </c>
      <c r="B119" s="3" t="s">
        <v>124</v>
      </c>
      <c r="C119" s="2">
        <v>215</v>
      </c>
      <c r="D119" s="2">
        <v>127</v>
      </c>
      <c r="E119" s="104">
        <v>1</v>
      </c>
      <c r="F119" s="75">
        <f>'Masters (1 yr) Additive'!V118/E119</f>
        <v>0</v>
      </c>
      <c r="G119" s="43">
        <v>0.90229999999999999</v>
      </c>
      <c r="H119" s="43">
        <v>0.8</v>
      </c>
      <c r="I119" s="104" t="s">
        <v>451</v>
      </c>
      <c r="J119" s="77" t="s">
        <v>451</v>
      </c>
      <c r="K119" s="77" t="s">
        <v>451</v>
      </c>
      <c r="L119" s="104">
        <v>0</v>
      </c>
    </row>
    <row r="120" spans="1:12" ht="17.25" customHeight="1" x14ac:dyDescent="0.25">
      <c r="A120" s="3" t="s">
        <v>96</v>
      </c>
      <c r="B120" s="3" t="s">
        <v>64</v>
      </c>
      <c r="C120" s="2">
        <v>222</v>
      </c>
      <c r="D120" s="2">
        <v>128</v>
      </c>
      <c r="E120" s="104">
        <v>11</v>
      </c>
      <c r="F120" s="75">
        <f>'Masters (1 yr) Additive'!V119/E120</f>
        <v>0.27272727272727271</v>
      </c>
      <c r="G120" s="43">
        <v>0.20899999999999999</v>
      </c>
      <c r="H120" s="43">
        <v>0.5</v>
      </c>
      <c r="I120" s="104">
        <v>2.04</v>
      </c>
      <c r="J120" s="76">
        <f>(4-0)/22</f>
        <v>0.18181818181818182</v>
      </c>
      <c r="K120" s="76">
        <f>18/22</f>
        <v>0.81818181818181823</v>
      </c>
      <c r="L120" s="104">
        <v>33</v>
      </c>
    </row>
    <row r="121" spans="1:12" x14ac:dyDescent="0.25">
      <c r="A121" s="3" t="s">
        <v>273</v>
      </c>
      <c r="B121" s="3" t="s">
        <v>238</v>
      </c>
      <c r="C121" s="2">
        <v>211</v>
      </c>
      <c r="D121" s="2">
        <v>129</v>
      </c>
      <c r="E121" s="104">
        <v>52</v>
      </c>
      <c r="F121" s="75">
        <f>'Masters (1 yr) Additive'!V120/E121</f>
        <v>0.11538461538461539</v>
      </c>
      <c r="G121" s="43">
        <v>0.52359999999999995</v>
      </c>
      <c r="H121" s="43">
        <v>0.89470000000000005</v>
      </c>
      <c r="I121" s="104">
        <v>2.77</v>
      </c>
      <c r="J121" s="76">
        <f>(21-0)/67</f>
        <v>0.31343283582089554</v>
      </c>
      <c r="K121" s="76">
        <f>46/67</f>
        <v>0.68656716417910446</v>
      </c>
      <c r="L121" s="104">
        <v>99</v>
      </c>
    </row>
    <row r="122" spans="1:12" x14ac:dyDescent="0.25">
      <c r="A122" s="3" t="s">
        <v>98</v>
      </c>
      <c r="B122" s="3" t="s">
        <v>64</v>
      </c>
      <c r="C122" s="2">
        <v>222</v>
      </c>
      <c r="D122" s="2">
        <v>130</v>
      </c>
      <c r="E122" s="104">
        <v>6</v>
      </c>
      <c r="F122" s="75">
        <f>'Masters (1 yr) Additive'!V121/E122</f>
        <v>0.33333333333333331</v>
      </c>
      <c r="G122" s="43">
        <v>0.2838</v>
      </c>
      <c r="H122" s="43">
        <v>0.78569999999999995</v>
      </c>
      <c r="I122" s="104">
        <v>1.77</v>
      </c>
      <c r="J122" s="77">
        <f>(2-0)/18</f>
        <v>0.1111111111111111</v>
      </c>
      <c r="K122" s="77">
        <f>16/18</f>
        <v>0.88888888888888884</v>
      </c>
      <c r="L122" s="104">
        <v>32</v>
      </c>
    </row>
    <row r="123" spans="1:12" x14ac:dyDescent="0.25">
      <c r="A123" s="3" t="s">
        <v>24</v>
      </c>
      <c r="B123" s="3" t="s">
        <v>124</v>
      </c>
      <c r="C123" s="2">
        <v>215</v>
      </c>
      <c r="D123" s="2">
        <v>131</v>
      </c>
      <c r="E123" s="104">
        <v>0</v>
      </c>
      <c r="F123" s="75">
        <v>0</v>
      </c>
      <c r="G123" s="43">
        <v>0.7833</v>
      </c>
      <c r="H123" s="43">
        <v>0.90510000000000002</v>
      </c>
      <c r="I123" s="104" t="s">
        <v>451</v>
      </c>
      <c r="J123" s="77" t="s">
        <v>451</v>
      </c>
      <c r="K123" s="77" t="s">
        <v>451</v>
      </c>
      <c r="L123" s="104">
        <v>0</v>
      </c>
    </row>
    <row r="124" spans="1:12" x14ac:dyDescent="0.25">
      <c r="A124" s="3" t="s">
        <v>298</v>
      </c>
      <c r="B124" s="3" t="s">
        <v>238</v>
      </c>
      <c r="C124" s="2">
        <v>218</v>
      </c>
      <c r="D124" s="2">
        <v>458</v>
      </c>
      <c r="E124" s="104">
        <v>49</v>
      </c>
      <c r="F124" s="75">
        <f>'Masters (1 yr) Additive'!V123/E124</f>
        <v>0.20408163265306123</v>
      </c>
      <c r="G124" s="51">
        <v>0.48159999999999997</v>
      </c>
      <c r="H124" s="51">
        <v>0.63790000000000002</v>
      </c>
      <c r="I124" s="104">
        <v>1.77</v>
      </c>
      <c r="J124" s="77">
        <f>(12-0)/111</f>
        <v>0.10810810810810811</v>
      </c>
      <c r="K124" s="77">
        <f>99/111</f>
        <v>0.89189189189189189</v>
      </c>
      <c r="L124" s="104">
        <v>187</v>
      </c>
    </row>
    <row r="125" spans="1:12" x14ac:dyDescent="0.25">
      <c r="A125" s="3" t="s">
        <v>331</v>
      </c>
      <c r="B125" s="3" t="s">
        <v>332</v>
      </c>
      <c r="C125" s="2">
        <v>222</v>
      </c>
      <c r="D125" s="2">
        <v>132</v>
      </c>
      <c r="E125" s="104">
        <v>0</v>
      </c>
      <c r="F125" s="75">
        <v>0</v>
      </c>
      <c r="G125" s="51">
        <v>0</v>
      </c>
      <c r="H125" s="51">
        <v>0</v>
      </c>
      <c r="I125" s="104" t="s">
        <v>451</v>
      </c>
      <c r="J125" s="77">
        <f>(4-2)/6</f>
        <v>0.33333333333333331</v>
      </c>
      <c r="K125" s="77">
        <f>2/6</f>
        <v>0.33333333333333331</v>
      </c>
      <c r="L125" s="104">
        <v>2</v>
      </c>
    </row>
    <row r="126" spans="1:12" x14ac:dyDescent="0.25">
      <c r="A126" s="3" t="s">
        <v>138</v>
      </c>
      <c r="B126" s="3" t="s">
        <v>124</v>
      </c>
      <c r="C126" s="2">
        <v>215</v>
      </c>
      <c r="D126" s="2">
        <v>133</v>
      </c>
      <c r="E126" s="104">
        <v>0</v>
      </c>
      <c r="F126" s="75">
        <v>0</v>
      </c>
      <c r="G126" s="51">
        <v>0.47220000000000001</v>
      </c>
      <c r="H126" s="51">
        <v>0.58819999999999995</v>
      </c>
      <c r="I126" s="104" t="s">
        <v>451</v>
      </c>
      <c r="J126" s="77" t="s">
        <v>451</v>
      </c>
      <c r="K126" s="77" t="s">
        <v>451</v>
      </c>
      <c r="L126" s="104">
        <v>0</v>
      </c>
    </row>
    <row r="127" spans="1:12" x14ac:dyDescent="0.25">
      <c r="A127" s="3" t="s">
        <v>276</v>
      </c>
      <c r="B127" s="3" t="s">
        <v>238</v>
      </c>
      <c r="C127" s="2">
        <v>227</v>
      </c>
      <c r="D127" s="2">
        <v>137</v>
      </c>
      <c r="E127" s="104">
        <v>50</v>
      </c>
      <c r="F127" s="75">
        <f>'Masters (1 yr) Additive'!V126/E127</f>
        <v>0.16</v>
      </c>
      <c r="G127" s="35">
        <v>0.59230000000000005</v>
      </c>
      <c r="H127" s="36">
        <v>0.85880000000000001</v>
      </c>
      <c r="I127" s="39">
        <v>2.02</v>
      </c>
      <c r="J127" s="77">
        <f>(46-1)/126</f>
        <v>0.35714285714285715</v>
      </c>
      <c r="K127" s="77">
        <f>80/126</f>
        <v>0.63492063492063489</v>
      </c>
      <c r="L127" s="104">
        <v>130</v>
      </c>
    </row>
    <row r="128" spans="1:12" x14ac:dyDescent="0.25">
      <c r="A128" s="3" t="s">
        <v>278</v>
      </c>
      <c r="B128" s="3" t="s">
        <v>238</v>
      </c>
      <c r="C128" s="2">
        <v>211</v>
      </c>
      <c r="D128" s="2">
        <v>138</v>
      </c>
      <c r="E128" s="104">
        <v>22</v>
      </c>
      <c r="F128" s="75">
        <f>'Masters (1 yr) Additive'!V127/E128</f>
        <v>4.5454545454545456E-2</v>
      </c>
      <c r="G128" s="43">
        <v>0.2525</v>
      </c>
      <c r="H128" s="43">
        <v>0.86270000000000002</v>
      </c>
      <c r="I128" s="39">
        <v>2.39</v>
      </c>
      <c r="J128" s="76">
        <f>(2-0)/31</f>
        <v>6.4516129032258063E-2</v>
      </c>
      <c r="K128" s="76">
        <f>29/31</f>
        <v>0.93548387096774188</v>
      </c>
      <c r="L128" s="104">
        <v>49</v>
      </c>
    </row>
    <row r="129" spans="1:12" x14ac:dyDescent="0.25">
      <c r="A129" s="3" t="s">
        <v>100</v>
      </c>
      <c r="B129" s="3" t="s">
        <v>64</v>
      </c>
      <c r="C129" s="2">
        <v>222</v>
      </c>
      <c r="D129" s="2">
        <v>139</v>
      </c>
      <c r="E129" s="104">
        <v>10</v>
      </c>
      <c r="F129" s="75">
        <f>'Masters (1 yr) Additive'!V128/E129</f>
        <v>0.3</v>
      </c>
      <c r="G129" s="43">
        <v>0.6</v>
      </c>
      <c r="H129" s="43">
        <v>0.44440000000000002</v>
      </c>
      <c r="I129" s="39">
        <v>1.77</v>
      </c>
      <c r="J129" s="76">
        <f>(3-0)/13</f>
        <v>0.23076923076923078</v>
      </c>
      <c r="K129" s="76">
        <f>10/13</f>
        <v>0.76923076923076927</v>
      </c>
      <c r="L129" s="104">
        <v>19</v>
      </c>
    </row>
    <row r="130" spans="1:12" x14ac:dyDescent="0.25">
      <c r="A130" s="3" t="s">
        <v>280</v>
      </c>
      <c r="B130" s="3" t="s">
        <v>238</v>
      </c>
      <c r="C130" s="2">
        <v>222</v>
      </c>
      <c r="D130" s="2">
        <v>140</v>
      </c>
      <c r="E130" s="104">
        <v>9</v>
      </c>
      <c r="F130" s="75">
        <f>'Masters (1 yr) Additive'!V129/E130</f>
        <v>0.22222222222222221</v>
      </c>
      <c r="G130" s="43">
        <v>0.14019999999999999</v>
      </c>
      <c r="H130" s="43">
        <v>0.8</v>
      </c>
      <c r="I130" s="39">
        <v>2.16</v>
      </c>
      <c r="J130" s="76">
        <f>(8-4)/15</f>
        <v>0.26666666666666666</v>
      </c>
      <c r="K130" s="76">
        <f>7/15</f>
        <v>0.46666666666666667</v>
      </c>
      <c r="L130" s="104">
        <v>18</v>
      </c>
    </row>
    <row r="131" spans="1:12" x14ac:dyDescent="0.25">
      <c r="A131" s="3" t="s">
        <v>58</v>
      </c>
      <c r="B131" s="3" t="s">
        <v>318</v>
      </c>
      <c r="C131" s="2">
        <v>214</v>
      </c>
      <c r="D131" s="2">
        <v>338</v>
      </c>
      <c r="E131" s="104">
        <v>27</v>
      </c>
      <c r="F131" s="75">
        <f>'Masters (1 yr) Additive'!V130/E131</f>
        <v>7.407407407407407E-2</v>
      </c>
      <c r="G131" s="43">
        <v>0.41070000000000001</v>
      </c>
      <c r="H131" s="43">
        <v>0.46200000000000002</v>
      </c>
      <c r="I131" s="39">
        <v>0.96</v>
      </c>
      <c r="J131" s="76">
        <f>(14-4)/23</f>
        <v>0.43478260869565216</v>
      </c>
      <c r="K131" s="76">
        <f>9/23</f>
        <v>0.39130434782608697</v>
      </c>
      <c r="L131" s="104">
        <v>37</v>
      </c>
    </row>
    <row r="132" spans="1:12" x14ac:dyDescent="0.25">
      <c r="A132" s="3" t="s">
        <v>229</v>
      </c>
      <c r="B132" s="3" t="s">
        <v>230</v>
      </c>
      <c r="C132" s="2">
        <v>217</v>
      </c>
      <c r="D132" s="2">
        <v>101</v>
      </c>
      <c r="E132" s="104">
        <v>41</v>
      </c>
      <c r="F132" s="75">
        <f>'Masters (1 yr) Additive'!V131/E132</f>
        <v>0.29268292682926828</v>
      </c>
      <c r="G132" s="43">
        <v>0.55559999999999998</v>
      </c>
      <c r="H132" s="43">
        <v>0.64710000000000001</v>
      </c>
      <c r="I132" s="39">
        <v>1.77</v>
      </c>
      <c r="J132" s="76">
        <f>(16-0)/68</f>
        <v>0.23529411764705882</v>
      </c>
      <c r="K132" s="76">
        <f>52/68</f>
        <v>0.76470588235294112</v>
      </c>
      <c r="L132" s="104">
        <v>94</v>
      </c>
    </row>
    <row r="133" spans="1:12" x14ac:dyDescent="0.25">
      <c r="A133" s="3" t="s">
        <v>233</v>
      </c>
      <c r="B133" s="3" t="s">
        <v>230</v>
      </c>
      <c r="C133" s="2">
        <v>217</v>
      </c>
      <c r="D133" s="2">
        <v>102</v>
      </c>
      <c r="E133" s="104">
        <v>65</v>
      </c>
      <c r="F133" s="75">
        <f>'Masters (1 yr) Additive'!V132/E133</f>
        <v>0.12307692307692308</v>
      </c>
      <c r="G133" s="43">
        <v>0.67210000000000003</v>
      </c>
      <c r="H133" s="43">
        <v>0.85370000000000001</v>
      </c>
      <c r="I133" s="39">
        <v>1.77</v>
      </c>
      <c r="J133" s="76">
        <f>(5-0)/25</f>
        <v>0.2</v>
      </c>
      <c r="K133" s="76">
        <f>20/25</f>
        <v>0.8</v>
      </c>
      <c r="L133" s="104">
        <v>31</v>
      </c>
    </row>
    <row r="134" spans="1:12" x14ac:dyDescent="0.25">
      <c r="A134" s="3" t="s">
        <v>49</v>
      </c>
      <c r="B134" s="3" t="s">
        <v>50</v>
      </c>
      <c r="C134" s="2">
        <v>220</v>
      </c>
      <c r="D134" s="2">
        <v>330</v>
      </c>
      <c r="E134" s="104">
        <v>12</v>
      </c>
      <c r="F134" s="75">
        <f>'Masters (1 yr) Additive'!V133/E134</f>
        <v>0.25</v>
      </c>
      <c r="G134" s="43">
        <v>0.3397</v>
      </c>
      <c r="H134" s="43">
        <v>0.2606</v>
      </c>
      <c r="I134" s="39">
        <v>2.04</v>
      </c>
      <c r="J134" s="76">
        <f>(6-0)/41</f>
        <v>0.14634146341463414</v>
      </c>
      <c r="K134" s="76">
        <f>35/41</f>
        <v>0.85365853658536583</v>
      </c>
      <c r="L134" s="104">
        <v>43</v>
      </c>
    </row>
    <row r="135" spans="1:12" x14ac:dyDescent="0.25">
      <c r="A135" s="3" t="s">
        <v>43</v>
      </c>
      <c r="B135" s="3" t="s">
        <v>44</v>
      </c>
      <c r="C135" s="2">
        <v>212</v>
      </c>
      <c r="D135" s="2">
        <v>329</v>
      </c>
      <c r="E135" s="104">
        <v>191</v>
      </c>
      <c r="F135" s="75">
        <f>'Masters (1 yr) Additive'!V134/E135</f>
        <v>0.12041884816753927</v>
      </c>
      <c r="G135" s="43">
        <v>0.46350000000000002</v>
      </c>
      <c r="H135" s="43">
        <v>0.79800000000000004</v>
      </c>
      <c r="I135" s="39">
        <v>1.77</v>
      </c>
      <c r="J135" s="76">
        <f>(25-3)/323</f>
        <v>6.8111455108359129E-2</v>
      </c>
      <c r="K135" s="76">
        <f>298/323</f>
        <v>0.92260061919504643</v>
      </c>
      <c r="L135" s="104">
        <v>594</v>
      </c>
    </row>
    <row r="136" spans="1:12" x14ac:dyDescent="0.25">
      <c r="A136" s="3" t="s">
        <v>150</v>
      </c>
      <c r="B136" s="3" t="s">
        <v>151</v>
      </c>
      <c r="C136" s="2">
        <v>214</v>
      </c>
      <c r="D136" s="2">
        <v>347</v>
      </c>
      <c r="E136" s="104">
        <v>53</v>
      </c>
      <c r="F136" s="75">
        <f>'Masters (1 yr) Additive'!V135/E136</f>
        <v>0.22641509433962265</v>
      </c>
      <c r="G136" s="43">
        <v>0.7782</v>
      </c>
      <c r="H136" s="43">
        <v>0.55110000000000003</v>
      </c>
      <c r="I136" s="39">
        <v>2.02</v>
      </c>
      <c r="J136" s="76">
        <f>(11-1)/53</f>
        <v>0.18867924528301888</v>
      </c>
      <c r="K136" s="76">
        <f>42/53</f>
        <v>0.79245283018867929</v>
      </c>
      <c r="L136" s="104">
        <v>103</v>
      </c>
    </row>
    <row r="137" spans="1:12" x14ac:dyDescent="0.25">
      <c r="A137" s="3" t="s">
        <v>221</v>
      </c>
      <c r="B137" s="3" t="s">
        <v>222</v>
      </c>
      <c r="C137" s="2">
        <v>221</v>
      </c>
      <c r="D137" s="2">
        <v>430</v>
      </c>
      <c r="E137" s="104">
        <v>6</v>
      </c>
      <c r="F137" s="75">
        <f>'Masters (1 yr) Additive'!V136/E137</f>
        <v>0.16666666666666666</v>
      </c>
      <c r="G137" s="43">
        <v>0.59230000000000005</v>
      </c>
      <c r="H137" s="43">
        <v>0.48049999999999998</v>
      </c>
      <c r="I137" s="39">
        <v>0.94</v>
      </c>
      <c r="J137" s="76">
        <f>(2-0)/41</f>
        <v>4.878048780487805E-2</v>
      </c>
      <c r="K137" s="76">
        <f>39/41</f>
        <v>0.95121951219512191</v>
      </c>
      <c r="L137" s="104">
        <v>55</v>
      </c>
    </row>
    <row r="138" spans="1:12" x14ac:dyDescent="0.25">
      <c r="A138" s="3" t="s">
        <v>357</v>
      </c>
      <c r="B138" s="3" t="s">
        <v>358</v>
      </c>
      <c r="C138" s="2">
        <v>221</v>
      </c>
      <c r="D138" s="2">
        <v>500</v>
      </c>
      <c r="E138" s="104">
        <v>5</v>
      </c>
      <c r="F138" s="75">
        <f>'Masters (1 yr) Additive'!V137/E138</f>
        <v>0.2</v>
      </c>
      <c r="G138" s="43">
        <v>0.38269999999999998</v>
      </c>
      <c r="H138" s="43">
        <v>0.6774</v>
      </c>
      <c r="I138" s="39">
        <v>0.77</v>
      </c>
      <c r="J138" s="76">
        <f>(0-0)/2</f>
        <v>0</v>
      </c>
      <c r="K138" s="76">
        <f>2/2</f>
        <v>1</v>
      </c>
      <c r="L138" s="104">
        <v>21</v>
      </c>
    </row>
    <row r="139" spans="1:12" x14ac:dyDescent="0.25">
      <c r="A139" s="3" t="s">
        <v>188</v>
      </c>
      <c r="B139" s="3" t="s">
        <v>189</v>
      </c>
      <c r="C139" s="2">
        <v>211</v>
      </c>
      <c r="D139" s="2">
        <v>66</v>
      </c>
      <c r="E139" s="104">
        <v>14</v>
      </c>
      <c r="F139" s="75">
        <f>'Masters (1 yr) Additive'!V138/E139</f>
        <v>0</v>
      </c>
      <c r="G139" s="43">
        <v>0.3488</v>
      </c>
      <c r="H139" s="43">
        <v>0.91669999999999996</v>
      </c>
      <c r="I139" s="39">
        <v>16.97</v>
      </c>
      <c r="J139" s="76">
        <f>(1-1)/6</f>
        <v>0</v>
      </c>
      <c r="K139" s="76">
        <f>5/6</f>
        <v>0.83333333333333337</v>
      </c>
      <c r="L139" s="104">
        <v>8</v>
      </c>
    </row>
    <row r="140" spans="1:12" x14ac:dyDescent="0.25">
      <c r="A140" s="3" t="s">
        <v>53</v>
      </c>
      <c r="B140" s="3" t="s">
        <v>54</v>
      </c>
      <c r="C140" s="2">
        <v>211</v>
      </c>
      <c r="D140" s="2">
        <v>67</v>
      </c>
      <c r="E140" s="104">
        <v>12</v>
      </c>
      <c r="F140" s="75">
        <f>'Masters (1 yr) Additive'!V139/E140</f>
        <v>0</v>
      </c>
      <c r="G140" s="43">
        <v>0.73829999999999996</v>
      </c>
      <c r="H140" s="43">
        <v>0.71730000000000005</v>
      </c>
      <c r="I140" s="69">
        <v>1.2</v>
      </c>
      <c r="J140" s="76">
        <f>(5-0)/60</f>
        <v>8.3333333333333329E-2</v>
      </c>
      <c r="K140" s="76">
        <f>55/60</f>
        <v>0.91666666666666663</v>
      </c>
      <c r="L140" s="104">
        <v>79</v>
      </c>
    </row>
    <row r="141" spans="1:12" x14ac:dyDescent="0.25">
      <c r="A141" s="3" t="s">
        <v>192</v>
      </c>
      <c r="B141" s="3" t="s">
        <v>193</v>
      </c>
      <c r="C141" s="2">
        <v>211</v>
      </c>
      <c r="D141" s="2">
        <v>70</v>
      </c>
      <c r="E141" s="104">
        <v>4</v>
      </c>
      <c r="F141" s="75">
        <f>'Masters (1 yr) Additive'!V140/E141</f>
        <v>0</v>
      </c>
      <c r="G141" s="43">
        <v>0.61270000000000002</v>
      </c>
      <c r="H141" s="43">
        <v>0.88680000000000003</v>
      </c>
      <c r="I141" s="39">
        <v>2.69</v>
      </c>
      <c r="J141" s="76">
        <f>(2-0)/13</f>
        <v>0.15384615384615385</v>
      </c>
      <c r="K141" s="76">
        <f>11/13</f>
        <v>0.84615384615384615</v>
      </c>
      <c r="L141" s="104">
        <v>14</v>
      </c>
    </row>
    <row r="142" spans="1:12" x14ac:dyDescent="0.25">
      <c r="A142" s="3" t="s">
        <v>210</v>
      </c>
      <c r="B142" s="3" t="s">
        <v>211</v>
      </c>
      <c r="C142" s="2">
        <v>214</v>
      </c>
      <c r="D142" s="2">
        <v>86</v>
      </c>
      <c r="E142" s="104">
        <v>14</v>
      </c>
      <c r="F142" s="75">
        <f>'Masters (1 yr) Additive'!V141/E142</f>
        <v>7.1428571428571425E-2</v>
      </c>
      <c r="G142" s="43">
        <v>0.46429999999999999</v>
      </c>
      <c r="H142" s="43">
        <v>0.92310000000000003</v>
      </c>
      <c r="I142" s="39">
        <v>2.15</v>
      </c>
      <c r="J142" s="76">
        <f>(11-0)/17</f>
        <v>0.6470588235294118</v>
      </c>
      <c r="K142" s="76">
        <f>6/17</f>
        <v>0.35294117647058826</v>
      </c>
      <c r="L142" s="104">
        <v>16</v>
      </c>
    </row>
    <row r="143" spans="1:12" x14ac:dyDescent="0.25">
      <c r="A143" s="3" t="s">
        <v>353</v>
      </c>
      <c r="B143" s="3" t="s">
        <v>354</v>
      </c>
      <c r="C143" s="2">
        <v>221</v>
      </c>
      <c r="D143" s="2">
        <v>464</v>
      </c>
      <c r="E143" s="104">
        <v>22</v>
      </c>
      <c r="F143" s="75">
        <f>'Masters (1 yr) Additive'!V142/E143</f>
        <v>4.5454545454545456E-2</v>
      </c>
      <c r="G143" s="43">
        <v>0.57140000000000002</v>
      </c>
      <c r="H143" s="43">
        <v>0.66669999999999996</v>
      </c>
      <c r="I143" s="39">
        <v>1.02</v>
      </c>
      <c r="J143" s="76">
        <f>(6-0)/44</f>
        <v>0.13636363636363635</v>
      </c>
      <c r="K143" s="76">
        <f>38/44</f>
        <v>0.86363636363636365</v>
      </c>
      <c r="L143" s="104">
        <v>103</v>
      </c>
    </row>
    <row r="144" spans="1:12" x14ac:dyDescent="0.25">
      <c r="A144" s="3" t="s">
        <v>77</v>
      </c>
      <c r="B144" s="3" t="s">
        <v>218</v>
      </c>
      <c r="C144" s="2">
        <v>222</v>
      </c>
      <c r="D144" s="2">
        <v>88</v>
      </c>
      <c r="E144" s="104">
        <v>11</v>
      </c>
      <c r="F144" s="75">
        <f>'Masters (1 yr) Additive'!V143/E144</f>
        <v>0.27272727272727271</v>
      </c>
      <c r="G144" s="43">
        <v>0.5484</v>
      </c>
      <c r="H144" s="43">
        <v>0.64710000000000001</v>
      </c>
      <c r="I144" s="69">
        <v>2.6</v>
      </c>
      <c r="J144" s="76">
        <f>(2-0)/21</f>
        <v>9.5238095238095233E-2</v>
      </c>
      <c r="K144" s="76">
        <f>19/21</f>
        <v>0.90476190476190477</v>
      </c>
      <c r="L144" s="104">
        <v>24</v>
      </c>
    </row>
    <row r="145" spans="1:12" x14ac:dyDescent="0.25">
      <c r="A145" s="3" t="s">
        <v>225</v>
      </c>
      <c r="B145" s="3" t="s">
        <v>226</v>
      </c>
      <c r="C145" s="2">
        <v>221</v>
      </c>
      <c r="D145" s="2">
        <v>431</v>
      </c>
      <c r="E145" s="104">
        <v>85</v>
      </c>
      <c r="F145" s="75">
        <f>'Masters (1 yr) Additive'!V144/E145</f>
        <v>0.15294117647058825</v>
      </c>
      <c r="G145" s="43">
        <v>0.60089999999999999</v>
      </c>
      <c r="H145" s="43">
        <v>0.51380000000000003</v>
      </c>
      <c r="I145" s="39">
        <v>1.02</v>
      </c>
      <c r="J145" s="76">
        <f>(15-0)/240</f>
        <v>6.25E-2</v>
      </c>
      <c r="K145" s="76">
        <f>225/240</f>
        <v>0.9375</v>
      </c>
      <c r="L145" s="104">
        <v>414</v>
      </c>
    </row>
    <row r="146" spans="1:12" x14ac:dyDescent="0.25">
      <c r="A146" s="3" t="s">
        <v>314</v>
      </c>
      <c r="B146" s="3" t="s">
        <v>238</v>
      </c>
      <c r="C146" s="2">
        <v>219</v>
      </c>
      <c r="D146" s="2">
        <v>501</v>
      </c>
      <c r="E146" s="104">
        <v>14</v>
      </c>
      <c r="F146" s="75">
        <f>'Masters (1 yr) Additive'!V145/E146</f>
        <v>0</v>
      </c>
      <c r="G146" s="43">
        <v>0.5413</v>
      </c>
      <c r="H146" s="43">
        <v>0.25419999999999998</v>
      </c>
      <c r="I146" s="39">
        <v>1.77</v>
      </c>
      <c r="J146" s="77" t="s">
        <v>451</v>
      </c>
      <c r="K146" s="77" t="s">
        <v>451</v>
      </c>
      <c r="L146" s="104">
        <v>9</v>
      </c>
    </row>
  </sheetData>
  <sheetProtection password="EC77" sheet="1" objects="1" scenarios="1"/>
  <mergeCells count="5">
    <mergeCell ref="A1:L1"/>
    <mergeCell ref="E2:L3"/>
    <mergeCell ref="E4:H4"/>
    <mergeCell ref="I4:J4"/>
    <mergeCell ref="K4:L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Normal="100" workbookViewId="0">
      <selection sqref="A1:L1"/>
    </sheetView>
  </sheetViews>
  <sheetFormatPr defaultRowHeight="15" x14ac:dyDescent="0.25"/>
  <cols>
    <col min="1" max="1" width="29" customWidth="1"/>
    <col min="2" max="2" width="27.7109375" customWidth="1"/>
    <col min="3" max="3" width="9.42578125" customWidth="1"/>
    <col min="4" max="4" width="10.85546875" customWidth="1"/>
    <col min="5" max="7" width="16" customWidth="1"/>
    <col min="8" max="8" width="17.5703125" customWidth="1"/>
    <col min="9" max="9" width="16" customWidth="1"/>
    <col min="10" max="10" width="16" style="85" customWidth="1"/>
    <col min="11" max="11" width="14.7109375" style="85" customWidth="1"/>
    <col min="12" max="12" width="14.28515625" style="99" customWidth="1"/>
  </cols>
  <sheetData>
    <row r="1" spans="1:13" ht="18.75" x14ac:dyDescent="0.25">
      <c r="A1" s="207" t="s">
        <v>538</v>
      </c>
      <c r="B1" s="207"/>
      <c r="C1" s="207"/>
      <c r="D1" s="207"/>
      <c r="E1" s="207"/>
      <c r="F1" s="207"/>
      <c r="G1" s="207"/>
      <c r="H1" s="207"/>
      <c r="I1" s="207"/>
      <c r="J1" s="207"/>
      <c r="K1" s="207"/>
      <c r="L1" s="207"/>
      <c r="M1" s="110"/>
    </row>
    <row r="2" spans="1:13" x14ac:dyDescent="0.25">
      <c r="A2" s="62" t="s">
        <v>399</v>
      </c>
      <c r="B2" s="62"/>
      <c r="C2" s="106"/>
      <c r="D2" s="106"/>
      <c r="E2" s="208" t="s">
        <v>401</v>
      </c>
      <c r="F2" s="208"/>
      <c r="G2" s="208"/>
      <c r="H2" s="208"/>
      <c r="I2" s="208"/>
      <c r="J2" s="208"/>
      <c r="K2" s="208"/>
      <c r="L2" s="208"/>
      <c r="M2" s="110"/>
    </row>
    <row r="3" spans="1:13" x14ac:dyDescent="0.25">
      <c r="A3" s="62" t="s">
        <v>399</v>
      </c>
      <c r="B3" s="62"/>
      <c r="C3" s="106"/>
      <c r="D3" s="106"/>
      <c r="E3" s="208"/>
      <c r="F3" s="208"/>
      <c r="G3" s="208"/>
      <c r="H3" s="208"/>
      <c r="I3" s="208"/>
      <c r="J3" s="208"/>
      <c r="K3" s="208"/>
      <c r="L3" s="208"/>
      <c r="M3" s="110"/>
    </row>
    <row r="4" spans="1:13" ht="18.75" x14ac:dyDescent="0.3">
      <c r="A4" s="62"/>
      <c r="B4" s="62"/>
      <c r="C4" s="103" t="s">
        <v>399</v>
      </c>
      <c r="D4" s="103"/>
      <c r="E4" s="209" t="s">
        <v>521</v>
      </c>
      <c r="F4" s="209"/>
      <c r="G4" s="209"/>
      <c r="H4" s="209"/>
      <c r="I4" s="210" t="s">
        <v>402</v>
      </c>
      <c r="J4" s="211"/>
      <c r="K4" s="212" t="s">
        <v>403</v>
      </c>
      <c r="L4" s="212"/>
      <c r="M4" s="110"/>
    </row>
    <row r="5" spans="1:13" x14ac:dyDescent="0.25">
      <c r="A5" s="62"/>
      <c r="B5" s="62"/>
      <c r="C5" s="103"/>
      <c r="D5" s="103"/>
      <c r="E5" s="78">
        <v>1</v>
      </c>
      <c r="F5" s="78">
        <v>2</v>
      </c>
      <c r="G5" s="78">
        <v>3</v>
      </c>
      <c r="H5" s="78">
        <v>4</v>
      </c>
      <c r="I5" s="79">
        <v>5</v>
      </c>
      <c r="J5" s="79">
        <v>6</v>
      </c>
      <c r="K5" s="42">
        <v>7</v>
      </c>
      <c r="L5" s="42">
        <v>8</v>
      </c>
      <c r="M5" s="110"/>
    </row>
    <row r="6" spans="1:13" ht="64.5" x14ac:dyDescent="0.25">
      <c r="A6" s="21" t="s">
        <v>408</v>
      </c>
      <c r="B6" s="21" t="s">
        <v>0</v>
      </c>
      <c r="C6" s="21" t="s">
        <v>404</v>
      </c>
      <c r="D6" s="22" t="s">
        <v>1</v>
      </c>
      <c r="E6" s="127" t="s">
        <v>446</v>
      </c>
      <c r="F6" s="127" t="s">
        <v>447</v>
      </c>
      <c r="G6" s="139" t="s">
        <v>457</v>
      </c>
      <c r="H6" s="139" t="s">
        <v>458</v>
      </c>
      <c r="I6" s="127" t="s">
        <v>531</v>
      </c>
      <c r="J6" s="124" t="s">
        <v>459</v>
      </c>
      <c r="K6" s="125" t="s">
        <v>460</v>
      </c>
      <c r="L6" s="180" t="s">
        <v>483</v>
      </c>
    </row>
    <row r="7" spans="1:13" x14ac:dyDescent="0.25">
      <c r="A7" s="3" t="s">
        <v>104</v>
      </c>
      <c r="B7" s="3" t="s">
        <v>144</v>
      </c>
      <c r="C7" s="2">
        <v>222</v>
      </c>
      <c r="D7" s="2">
        <v>336</v>
      </c>
      <c r="E7" s="5">
        <v>0</v>
      </c>
      <c r="F7" s="75">
        <v>0</v>
      </c>
      <c r="G7" s="34">
        <v>0.219</v>
      </c>
      <c r="H7" s="34">
        <v>0.52629999999999999</v>
      </c>
      <c r="I7" s="74" t="s">
        <v>451</v>
      </c>
      <c r="J7" s="84" t="s">
        <v>451</v>
      </c>
      <c r="K7" s="84" t="s">
        <v>451</v>
      </c>
      <c r="L7" s="96">
        <v>0</v>
      </c>
    </row>
    <row r="8" spans="1:13" x14ac:dyDescent="0.25">
      <c r="A8" s="3" t="s">
        <v>58</v>
      </c>
      <c r="B8" s="3" t="s">
        <v>59</v>
      </c>
      <c r="C8" s="2">
        <v>214</v>
      </c>
      <c r="D8" s="2">
        <v>338</v>
      </c>
      <c r="E8" s="5">
        <v>114</v>
      </c>
      <c r="F8" s="75">
        <f>'Masters (2 yr) Additive'!V7/E8</f>
        <v>0.26315789473684209</v>
      </c>
      <c r="G8" s="34">
        <v>0.41070000000000001</v>
      </c>
      <c r="H8" s="34">
        <v>0.46200000000000002</v>
      </c>
      <c r="I8" s="74">
        <v>1.77</v>
      </c>
      <c r="J8" s="84">
        <f>(15-1)/133</f>
        <v>0.10526315789473684</v>
      </c>
      <c r="K8" s="84">
        <f>118/133</f>
        <v>0.88721804511278191</v>
      </c>
      <c r="L8" s="96">
        <v>204</v>
      </c>
    </row>
    <row r="9" spans="1:13" x14ac:dyDescent="0.25">
      <c r="A9" s="3" t="s">
        <v>106</v>
      </c>
      <c r="B9" s="3" t="s">
        <v>183</v>
      </c>
      <c r="C9" s="2">
        <v>217</v>
      </c>
      <c r="D9" s="2">
        <v>339</v>
      </c>
      <c r="E9" s="5">
        <v>46</v>
      </c>
      <c r="F9" s="75">
        <f>'Masters (2 yr) Additive'!V8/E9</f>
        <v>0.30434782608695654</v>
      </c>
      <c r="G9" s="34">
        <v>0.20780000000000001</v>
      </c>
      <c r="H9" s="34">
        <v>0.69920000000000004</v>
      </c>
      <c r="I9" s="74">
        <v>2.77</v>
      </c>
      <c r="J9" s="84">
        <f>(10-0)/60</f>
        <v>0.16666666666666666</v>
      </c>
      <c r="K9" s="84">
        <f>50/60</f>
        <v>0.83333333333333337</v>
      </c>
      <c r="L9" s="96">
        <v>83</v>
      </c>
    </row>
    <row r="10" spans="1:13" x14ac:dyDescent="0.25">
      <c r="A10" s="3" t="s">
        <v>288</v>
      </c>
      <c r="B10" s="3" t="s">
        <v>335</v>
      </c>
      <c r="C10" s="2">
        <v>222</v>
      </c>
      <c r="D10" s="2">
        <v>342</v>
      </c>
      <c r="E10" s="5">
        <v>0</v>
      </c>
      <c r="F10" s="75">
        <v>0</v>
      </c>
      <c r="G10" s="34">
        <v>0.125</v>
      </c>
      <c r="H10" s="34">
        <v>0.5</v>
      </c>
      <c r="I10" s="74" t="s">
        <v>451</v>
      </c>
      <c r="J10" s="84" t="s">
        <v>451</v>
      </c>
      <c r="K10" s="84" t="s">
        <v>451</v>
      </c>
      <c r="L10" s="96">
        <v>0</v>
      </c>
    </row>
    <row r="11" spans="1:13" x14ac:dyDescent="0.25">
      <c r="A11" s="3" t="s">
        <v>292</v>
      </c>
      <c r="B11" s="3" t="s">
        <v>335</v>
      </c>
      <c r="C11" s="2">
        <v>211</v>
      </c>
      <c r="D11" s="2">
        <v>346</v>
      </c>
      <c r="E11" s="5">
        <v>0</v>
      </c>
      <c r="F11" s="75">
        <v>0</v>
      </c>
      <c r="G11" s="34">
        <v>0</v>
      </c>
      <c r="H11" s="34">
        <v>0</v>
      </c>
      <c r="I11" s="74" t="s">
        <v>451</v>
      </c>
      <c r="J11" s="84" t="s">
        <v>451</v>
      </c>
      <c r="K11" s="84" t="s">
        <v>451</v>
      </c>
      <c r="L11" s="96">
        <v>0</v>
      </c>
    </row>
    <row r="12" spans="1:13" x14ac:dyDescent="0.25">
      <c r="A12" s="3" t="s">
        <v>292</v>
      </c>
      <c r="B12" s="3" t="s">
        <v>335</v>
      </c>
      <c r="C12" s="2">
        <v>222</v>
      </c>
      <c r="D12" s="2">
        <v>346</v>
      </c>
      <c r="E12" s="5">
        <v>0</v>
      </c>
      <c r="F12" s="75">
        <v>0</v>
      </c>
      <c r="G12" s="34">
        <v>0.2286</v>
      </c>
      <c r="H12" s="34">
        <v>0.75</v>
      </c>
      <c r="I12" s="74">
        <v>1.02</v>
      </c>
      <c r="J12" s="84" t="s">
        <v>451</v>
      </c>
      <c r="K12" s="84" t="s">
        <v>451</v>
      </c>
      <c r="L12" s="96">
        <v>2</v>
      </c>
    </row>
    <row r="13" spans="1:13" x14ac:dyDescent="0.25">
      <c r="A13" s="3" t="s">
        <v>42</v>
      </c>
      <c r="B13" s="3" t="s">
        <v>154</v>
      </c>
      <c r="C13" s="2">
        <v>212</v>
      </c>
      <c r="D13" s="2">
        <v>348</v>
      </c>
      <c r="E13" s="5">
        <v>907</v>
      </c>
      <c r="F13" s="75">
        <f>'Masters (2 yr) Additive'!V12/E13</f>
        <v>0.15214994487320838</v>
      </c>
      <c r="G13" s="34">
        <v>0.55000000000000004</v>
      </c>
      <c r="H13" s="34">
        <v>0.81950000000000001</v>
      </c>
      <c r="I13" s="74">
        <v>1.77</v>
      </c>
      <c r="J13" s="84">
        <f>(105-2)/1610</f>
        <v>6.3975155279503107E-2</v>
      </c>
      <c r="K13" s="84">
        <f>1505/1610</f>
        <v>0.93478260869565222</v>
      </c>
      <c r="L13" s="96">
        <v>2390</v>
      </c>
    </row>
    <row r="14" spans="1:13" x14ac:dyDescent="0.25">
      <c r="A14" s="3" t="s">
        <v>294</v>
      </c>
      <c r="B14" s="3" t="s">
        <v>335</v>
      </c>
      <c r="C14" s="2">
        <v>222</v>
      </c>
      <c r="D14" s="2">
        <v>350</v>
      </c>
      <c r="E14" s="5">
        <v>2</v>
      </c>
      <c r="F14" s="75">
        <f>'Masters (2 yr) Additive'!V13/E14</f>
        <v>0</v>
      </c>
      <c r="G14" s="34">
        <v>2.86E-2</v>
      </c>
      <c r="H14" s="34">
        <v>1</v>
      </c>
      <c r="I14" s="74" t="s">
        <v>451</v>
      </c>
      <c r="J14" s="84">
        <f>(1-0)/3</f>
        <v>0.33333333333333331</v>
      </c>
      <c r="K14" s="84">
        <f>2/3</f>
        <v>0.66666666666666663</v>
      </c>
      <c r="L14" s="96">
        <v>5</v>
      </c>
    </row>
    <row r="15" spans="1:13" x14ac:dyDescent="0.25">
      <c r="A15" s="3" t="s">
        <v>182</v>
      </c>
      <c r="B15" s="3" t="s">
        <v>183</v>
      </c>
      <c r="C15" s="2">
        <v>222</v>
      </c>
      <c r="D15" s="2">
        <v>48</v>
      </c>
      <c r="E15" s="5">
        <v>31</v>
      </c>
      <c r="F15" s="75">
        <f>'Masters (2 yr) Additive'!V14/E15</f>
        <v>6.4516129032258063E-2</v>
      </c>
      <c r="G15" s="34">
        <v>4.8099999999999997E-2</v>
      </c>
      <c r="H15" s="34">
        <v>0.6</v>
      </c>
      <c r="I15" s="74">
        <v>2.77</v>
      </c>
      <c r="J15" s="84">
        <f>(1-0)/44</f>
        <v>2.2727272727272728E-2</v>
      </c>
      <c r="K15" s="84">
        <f>43/44</f>
        <v>0.97727272727272729</v>
      </c>
      <c r="L15" s="96">
        <v>52</v>
      </c>
    </row>
    <row r="16" spans="1:13" x14ac:dyDescent="0.25">
      <c r="A16" s="3" t="s">
        <v>26</v>
      </c>
      <c r="B16" s="3" t="s">
        <v>156</v>
      </c>
      <c r="C16" s="2">
        <v>215</v>
      </c>
      <c r="D16" s="2">
        <v>437</v>
      </c>
      <c r="E16" s="5">
        <v>139</v>
      </c>
      <c r="F16" s="75">
        <f>'Masters (2 yr) Additive'!V15/E16</f>
        <v>0.2805755395683453</v>
      </c>
      <c r="G16" s="34">
        <v>0.55130000000000001</v>
      </c>
      <c r="H16" s="34">
        <v>0.81089999999999995</v>
      </c>
      <c r="I16" s="74">
        <v>2.62</v>
      </c>
      <c r="J16" s="84">
        <f>(55-2)/259</f>
        <v>0.20463320463320464</v>
      </c>
      <c r="K16" s="84">
        <f>204/259</f>
        <v>0.78764478764478763</v>
      </c>
      <c r="L16" s="96">
        <v>349</v>
      </c>
    </row>
    <row r="17" spans="1:12" x14ac:dyDescent="0.25">
      <c r="A17" s="3" t="s">
        <v>123</v>
      </c>
      <c r="B17" s="3" t="s">
        <v>156</v>
      </c>
      <c r="C17" s="2">
        <v>215</v>
      </c>
      <c r="D17" s="2">
        <v>52</v>
      </c>
      <c r="E17" s="5">
        <v>20</v>
      </c>
      <c r="F17" s="75">
        <f>'Masters (2 yr) Additive'!V16/E17</f>
        <v>0.4</v>
      </c>
      <c r="G17" s="34">
        <v>0.79749999999999999</v>
      </c>
      <c r="H17" s="34">
        <v>0.92859999999999998</v>
      </c>
      <c r="I17" s="74">
        <v>1.02</v>
      </c>
      <c r="J17" s="84">
        <f>(3-0)/66</f>
        <v>4.5454545454545456E-2</v>
      </c>
      <c r="K17" s="84">
        <f>63/66</f>
        <v>0.95454545454545459</v>
      </c>
      <c r="L17" s="96">
        <v>121</v>
      </c>
    </row>
    <row r="18" spans="1:12" x14ac:dyDescent="0.25">
      <c r="A18" s="3" t="s">
        <v>8</v>
      </c>
      <c r="B18" s="3" t="s">
        <v>156</v>
      </c>
      <c r="C18" s="2">
        <v>215</v>
      </c>
      <c r="D18" s="2">
        <v>54</v>
      </c>
      <c r="E18" s="5">
        <v>41</v>
      </c>
      <c r="F18" s="75">
        <f>'Masters (2 yr) Additive'!V17/E18</f>
        <v>0.21951219512195122</v>
      </c>
      <c r="G18" s="34">
        <v>0.48909999999999998</v>
      </c>
      <c r="H18" s="34">
        <v>0.74629999999999996</v>
      </c>
      <c r="I18" s="74">
        <v>2.38</v>
      </c>
      <c r="J18" s="84">
        <f>(8-0)/36</f>
        <v>0.22222222222222221</v>
      </c>
      <c r="K18" s="84">
        <f>28/36</f>
        <v>0.77777777777777779</v>
      </c>
      <c r="L18" s="96">
        <v>43</v>
      </c>
    </row>
    <row r="19" spans="1:12" x14ac:dyDescent="0.25">
      <c r="A19" s="3" t="s">
        <v>127</v>
      </c>
      <c r="B19" s="3" t="s">
        <v>156</v>
      </c>
      <c r="C19" s="2">
        <v>215</v>
      </c>
      <c r="D19" s="2">
        <v>57</v>
      </c>
      <c r="E19" s="5">
        <v>86</v>
      </c>
      <c r="F19" s="75">
        <f>'Masters (2 yr) Additive'!V18/E19</f>
        <v>0.12790697674418605</v>
      </c>
      <c r="G19" s="34">
        <v>0.89880000000000004</v>
      </c>
      <c r="H19" s="34">
        <v>0.93130000000000002</v>
      </c>
      <c r="I19" s="74">
        <v>0.97</v>
      </c>
      <c r="J19" s="84">
        <f>(17-1)/390</f>
        <v>4.1025641025641026E-2</v>
      </c>
      <c r="K19" s="84">
        <f>373/390</f>
        <v>0.95641025641025645</v>
      </c>
      <c r="L19" s="96">
        <v>604</v>
      </c>
    </row>
    <row r="20" spans="1:12" x14ac:dyDescent="0.25">
      <c r="A20" s="3" t="s">
        <v>129</v>
      </c>
      <c r="B20" s="3" t="s">
        <v>156</v>
      </c>
      <c r="C20" s="2">
        <v>215</v>
      </c>
      <c r="D20" s="2">
        <v>61</v>
      </c>
      <c r="E20" s="5">
        <v>16</v>
      </c>
      <c r="F20" s="75">
        <f>'Masters (2 yr) Additive'!V19/E20</f>
        <v>0.375</v>
      </c>
      <c r="G20" s="34">
        <v>0.78879999999999995</v>
      </c>
      <c r="H20" s="34">
        <v>0.81100000000000005</v>
      </c>
      <c r="I20" s="74">
        <v>1.02</v>
      </c>
      <c r="J20" s="84">
        <f>(5-0)/76</f>
        <v>6.5789473684210523E-2</v>
      </c>
      <c r="K20" s="84">
        <f>71/76</f>
        <v>0.93421052631578949</v>
      </c>
      <c r="L20" s="96">
        <v>91</v>
      </c>
    </row>
    <row r="21" spans="1:12" x14ac:dyDescent="0.25">
      <c r="A21" s="143" t="s">
        <v>121</v>
      </c>
      <c r="B21" s="3" t="s">
        <v>144</v>
      </c>
      <c r="C21" s="144">
        <v>222</v>
      </c>
      <c r="D21" s="144">
        <v>539</v>
      </c>
      <c r="E21" s="65">
        <v>0</v>
      </c>
      <c r="F21" s="75">
        <v>0</v>
      </c>
      <c r="G21" s="34">
        <v>0.55320000000000003</v>
      </c>
      <c r="H21" s="34">
        <v>0.65380000000000005</v>
      </c>
      <c r="I21" s="74" t="s">
        <v>451</v>
      </c>
      <c r="J21" s="84" t="s">
        <v>451</v>
      </c>
      <c r="K21" s="84" t="s">
        <v>451</v>
      </c>
      <c r="L21" s="97">
        <v>0</v>
      </c>
    </row>
    <row r="22" spans="1:12" x14ac:dyDescent="0.25">
      <c r="A22" s="3" t="s">
        <v>71</v>
      </c>
      <c r="B22" s="3" t="s">
        <v>335</v>
      </c>
      <c r="C22" s="2">
        <v>222</v>
      </c>
      <c r="D22" s="2">
        <v>73</v>
      </c>
      <c r="E22" s="5">
        <v>0</v>
      </c>
      <c r="F22" s="75">
        <v>0</v>
      </c>
      <c r="G22" s="34">
        <v>0.42730000000000001</v>
      </c>
      <c r="H22" s="34">
        <v>0.46810000000000002</v>
      </c>
      <c r="I22" s="74" t="s">
        <v>451</v>
      </c>
      <c r="J22" s="84" t="s">
        <v>451</v>
      </c>
      <c r="K22" s="84" t="s">
        <v>451</v>
      </c>
      <c r="L22" s="97">
        <v>0</v>
      </c>
    </row>
    <row r="23" spans="1:12" x14ac:dyDescent="0.25">
      <c r="A23" s="3" t="s">
        <v>253</v>
      </c>
      <c r="B23" s="3" t="s">
        <v>335</v>
      </c>
      <c r="C23" s="2">
        <v>222</v>
      </c>
      <c r="D23" s="2">
        <v>74</v>
      </c>
      <c r="E23" s="5">
        <v>0</v>
      </c>
      <c r="F23" s="75">
        <v>0</v>
      </c>
      <c r="G23" s="34">
        <v>0.3034</v>
      </c>
      <c r="H23" s="34">
        <v>0.61360000000000003</v>
      </c>
      <c r="I23" s="74" t="s">
        <v>451</v>
      </c>
      <c r="J23" s="84">
        <f>(0-0)/1</f>
        <v>0</v>
      </c>
      <c r="K23" s="84">
        <f>1/1</f>
        <v>1</v>
      </c>
      <c r="L23" s="96">
        <v>1</v>
      </c>
    </row>
    <row r="24" spans="1:12" x14ac:dyDescent="0.25">
      <c r="A24" s="68" t="s">
        <v>196</v>
      </c>
      <c r="B24" s="68" t="s">
        <v>197</v>
      </c>
      <c r="C24" s="2">
        <v>219</v>
      </c>
      <c r="D24" s="2">
        <v>76</v>
      </c>
      <c r="E24" s="39">
        <v>41</v>
      </c>
      <c r="F24" s="75">
        <f>'Masters (2 yr) Additive'!V24/E24</f>
        <v>0.17073170731707318</v>
      </c>
      <c r="G24" s="43">
        <v>0.37409999999999999</v>
      </c>
      <c r="H24" s="43">
        <v>0.64710000000000001</v>
      </c>
      <c r="I24" s="104">
        <v>1.77</v>
      </c>
      <c r="J24" s="77">
        <f>(2-0)/56</f>
        <v>3.5714285714285712E-2</v>
      </c>
      <c r="K24" s="77">
        <f>54/56</f>
        <v>0.9642857142857143</v>
      </c>
      <c r="L24" s="98">
        <v>95</v>
      </c>
    </row>
    <row r="25" spans="1:12" x14ac:dyDescent="0.25">
      <c r="A25" s="3" t="s">
        <v>361</v>
      </c>
      <c r="B25" s="3" t="s">
        <v>362</v>
      </c>
      <c r="C25" s="2">
        <v>214</v>
      </c>
      <c r="D25" s="2">
        <v>507</v>
      </c>
      <c r="E25" s="65">
        <v>9</v>
      </c>
      <c r="F25" s="75">
        <f>'Masters (2 yr) Additive'!V25/E25</f>
        <v>0</v>
      </c>
      <c r="G25" s="34">
        <v>0.65</v>
      </c>
      <c r="H25" s="34">
        <v>0.42309999999999998</v>
      </c>
      <c r="I25" s="105">
        <v>2.3654000000000002</v>
      </c>
      <c r="J25" s="84">
        <f>(1-1)/9</f>
        <v>0</v>
      </c>
      <c r="K25" s="84">
        <f>8/9</f>
        <v>0.88888888888888884</v>
      </c>
      <c r="L25" s="96">
        <v>13</v>
      </c>
    </row>
    <row r="26" spans="1:12" x14ac:dyDescent="0.25">
      <c r="A26" s="3" t="s">
        <v>206</v>
      </c>
      <c r="B26" s="3" t="s">
        <v>207</v>
      </c>
      <c r="C26" s="2">
        <v>214</v>
      </c>
      <c r="D26" s="2">
        <v>85</v>
      </c>
      <c r="E26" s="5">
        <v>16</v>
      </c>
      <c r="F26" s="75">
        <f>'Masters (2 yr) Additive'!V26/E26</f>
        <v>0.125</v>
      </c>
      <c r="G26" s="34">
        <v>0.58760000000000001</v>
      </c>
      <c r="H26" s="34">
        <v>0.56140000000000001</v>
      </c>
      <c r="I26" s="74">
        <v>3.77</v>
      </c>
      <c r="J26" s="84">
        <f>(15-2)/23</f>
        <v>0.56521739130434778</v>
      </c>
      <c r="K26" s="84">
        <f>8/23</f>
        <v>0.34782608695652173</v>
      </c>
      <c r="L26" s="96">
        <v>18</v>
      </c>
    </row>
    <row r="27" spans="1:12" x14ac:dyDescent="0.25">
      <c r="A27" s="3" t="s">
        <v>214</v>
      </c>
      <c r="B27" s="3" t="s">
        <v>215</v>
      </c>
      <c r="C27" s="2">
        <v>214</v>
      </c>
      <c r="D27" s="2">
        <v>87</v>
      </c>
      <c r="E27" s="5">
        <v>30</v>
      </c>
      <c r="F27" s="75">
        <f>'Masters (2 yr) Additive'!V27/E27</f>
        <v>0.13333333333333333</v>
      </c>
      <c r="G27" s="34">
        <v>0.55169999999999997</v>
      </c>
      <c r="H27" s="34">
        <v>0.4375</v>
      </c>
      <c r="I27" s="74">
        <v>3.02</v>
      </c>
      <c r="J27" s="84">
        <f>(11-0)/24</f>
        <v>0.45833333333333331</v>
      </c>
      <c r="K27" s="84">
        <f>13/24</f>
        <v>0.54166666666666663</v>
      </c>
      <c r="L27" s="96">
        <v>36</v>
      </c>
    </row>
    <row r="28" spans="1:12" x14ac:dyDescent="0.25">
      <c r="A28" s="3" t="s">
        <v>77</v>
      </c>
      <c r="B28" s="3" t="s">
        <v>144</v>
      </c>
      <c r="C28" s="2">
        <v>222</v>
      </c>
      <c r="D28" s="2">
        <v>88</v>
      </c>
      <c r="E28" s="5">
        <v>0</v>
      </c>
      <c r="F28" s="75">
        <v>0</v>
      </c>
      <c r="G28" s="34">
        <v>0.5484</v>
      </c>
      <c r="H28" s="34">
        <v>0.64710000000000001</v>
      </c>
      <c r="I28" s="74" t="s">
        <v>451</v>
      </c>
      <c r="J28" s="84" t="s">
        <v>451</v>
      </c>
      <c r="K28" s="84" t="s">
        <v>451</v>
      </c>
      <c r="L28" s="97">
        <v>0</v>
      </c>
    </row>
    <row r="29" spans="1:12" x14ac:dyDescent="0.25">
      <c r="A29" s="3" t="s">
        <v>79</v>
      </c>
      <c r="B29" s="3" t="s">
        <v>144</v>
      </c>
      <c r="C29" s="2">
        <v>222</v>
      </c>
      <c r="D29" s="2">
        <v>89</v>
      </c>
      <c r="E29" s="5">
        <v>0</v>
      </c>
      <c r="F29" s="75">
        <v>0</v>
      </c>
      <c r="G29" s="34">
        <v>0.59330000000000005</v>
      </c>
      <c r="H29" s="34">
        <v>0.49440000000000001</v>
      </c>
      <c r="I29" s="74" t="s">
        <v>451</v>
      </c>
      <c r="J29" s="84" t="s">
        <v>451</v>
      </c>
      <c r="K29" s="84" t="s">
        <v>451</v>
      </c>
      <c r="L29" s="97">
        <v>0</v>
      </c>
    </row>
    <row r="30" spans="1:12" x14ac:dyDescent="0.25">
      <c r="A30" s="3" t="s">
        <v>14</v>
      </c>
      <c r="B30" s="3" t="s">
        <v>156</v>
      </c>
      <c r="C30" s="2">
        <v>215</v>
      </c>
      <c r="D30" s="2">
        <v>91</v>
      </c>
      <c r="E30" s="5">
        <v>31</v>
      </c>
      <c r="F30" s="75">
        <f>'Masters (2 yr) Additive'!V30/E30</f>
        <v>0.29032258064516131</v>
      </c>
      <c r="G30" s="34">
        <v>0.44390000000000002</v>
      </c>
      <c r="H30" s="34">
        <v>0.59770000000000001</v>
      </c>
      <c r="I30" s="105">
        <v>2.58</v>
      </c>
      <c r="J30" s="84">
        <f>(19-1)/48</f>
        <v>0.375</v>
      </c>
      <c r="K30" s="84">
        <f>29/48</f>
        <v>0.60416666666666663</v>
      </c>
      <c r="L30" s="96">
        <v>56</v>
      </c>
    </row>
    <row r="31" spans="1:12" x14ac:dyDescent="0.25">
      <c r="A31" s="3" t="s">
        <v>83</v>
      </c>
      <c r="B31" s="3" t="s">
        <v>144</v>
      </c>
      <c r="C31" s="2">
        <v>222</v>
      </c>
      <c r="D31" s="2">
        <v>94</v>
      </c>
      <c r="E31" s="5">
        <v>1</v>
      </c>
      <c r="F31" s="75">
        <f>'Masters (2 yr) Additive'!V31/E31</f>
        <v>0</v>
      </c>
      <c r="G31" s="34">
        <v>0.2457</v>
      </c>
      <c r="H31" s="34">
        <v>0.4884</v>
      </c>
      <c r="I31" s="74">
        <v>0.69</v>
      </c>
      <c r="J31" s="84">
        <f>(0-0)/5</f>
        <v>0</v>
      </c>
      <c r="K31" s="84">
        <f>5/5</f>
        <v>1</v>
      </c>
      <c r="L31" s="96">
        <v>6</v>
      </c>
    </row>
    <row r="32" spans="1:12" x14ac:dyDescent="0.25">
      <c r="A32" s="3" t="s">
        <v>83</v>
      </c>
      <c r="B32" s="3" t="s">
        <v>335</v>
      </c>
      <c r="C32" s="2">
        <v>222</v>
      </c>
      <c r="D32" s="2">
        <v>94</v>
      </c>
      <c r="E32" s="5">
        <v>1</v>
      </c>
      <c r="F32" s="75">
        <f>'Masters (2 yr) Additive'!V32/E32</f>
        <v>0</v>
      </c>
      <c r="G32" s="34">
        <v>0.2457</v>
      </c>
      <c r="H32" s="34">
        <v>0.4884</v>
      </c>
      <c r="I32" s="105">
        <v>1.9</v>
      </c>
      <c r="J32" s="84" t="s">
        <v>451</v>
      </c>
      <c r="K32" s="84" t="s">
        <v>451</v>
      </c>
      <c r="L32" s="96">
        <v>2</v>
      </c>
    </row>
    <row r="33" spans="1:12" x14ac:dyDescent="0.25">
      <c r="A33" s="3" t="s">
        <v>131</v>
      </c>
      <c r="B33" s="3" t="s">
        <v>156</v>
      </c>
      <c r="C33" s="2">
        <v>215</v>
      </c>
      <c r="D33" s="2">
        <v>95</v>
      </c>
      <c r="E33" s="5">
        <v>2</v>
      </c>
      <c r="F33" s="75">
        <f>'Masters (2 yr) Additive'!V33/E33</f>
        <v>0.5</v>
      </c>
      <c r="G33" s="34">
        <v>0.56669999999999998</v>
      </c>
      <c r="H33" s="34">
        <v>0.73529999999999995</v>
      </c>
      <c r="I33" s="74">
        <v>1.62</v>
      </c>
      <c r="J33" s="84">
        <f>(4-1)/15</f>
        <v>0.2</v>
      </c>
      <c r="K33" s="84">
        <f>11/15</f>
        <v>0.73333333333333328</v>
      </c>
      <c r="L33" s="96">
        <v>9</v>
      </c>
    </row>
    <row r="34" spans="1:12" x14ac:dyDescent="0.25">
      <c r="A34" s="3" t="s">
        <v>16</v>
      </c>
      <c r="B34" s="3" t="s">
        <v>156</v>
      </c>
      <c r="C34" s="2">
        <v>215</v>
      </c>
      <c r="D34" s="2">
        <v>98</v>
      </c>
      <c r="E34" s="5">
        <v>47</v>
      </c>
      <c r="F34" s="75">
        <f>'Masters (2 yr) Additive'!V34/E34</f>
        <v>0.31914893617021278</v>
      </c>
      <c r="G34" s="34">
        <v>0.3024</v>
      </c>
      <c r="H34" s="34">
        <v>0.69350000000000001</v>
      </c>
      <c r="I34" s="74">
        <v>2.38</v>
      </c>
      <c r="J34" s="84">
        <f>(12-3)/55</f>
        <v>0.16363636363636364</v>
      </c>
      <c r="K34" s="84">
        <f>43/55</f>
        <v>0.78181818181818186</v>
      </c>
      <c r="L34" s="96">
        <v>71</v>
      </c>
    </row>
    <row r="35" spans="1:12" x14ac:dyDescent="0.25">
      <c r="A35" s="3" t="s">
        <v>322</v>
      </c>
      <c r="B35" s="3" t="s">
        <v>323</v>
      </c>
      <c r="C35" s="2">
        <v>225</v>
      </c>
      <c r="D35" s="2">
        <v>104</v>
      </c>
      <c r="E35" s="5">
        <v>94</v>
      </c>
      <c r="F35" s="75">
        <f>'Masters (2 yr) Additive'!V35/E35</f>
        <v>0.15957446808510639</v>
      </c>
      <c r="G35" s="34">
        <v>0.61890000000000001</v>
      </c>
      <c r="H35" s="34">
        <v>0.86650000000000005</v>
      </c>
      <c r="I35" s="74">
        <v>1.02</v>
      </c>
      <c r="J35" s="84">
        <f>(44-2)/378</f>
        <v>0.1111111111111111</v>
      </c>
      <c r="K35" s="84">
        <f>334/378</f>
        <v>0.8835978835978836</v>
      </c>
      <c r="L35" s="96">
        <v>432</v>
      </c>
    </row>
    <row r="36" spans="1:12" x14ac:dyDescent="0.25">
      <c r="A36" s="3" t="s">
        <v>200</v>
      </c>
      <c r="B36" s="3" t="s">
        <v>201</v>
      </c>
      <c r="C36" s="2">
        <v>219</v>
      </c>
      <c r="D36" s="2">
        <v>106</v>
      </c>
      <c r="E36" s="5">
        <v>0</v>
      </c>
      <c r="F36" s="75">
        <v>0</v>
      </c>
      <c r="G36" s="34">
        <v>0.41570000000000001</v>
      </c>
      <c r="H36" s="34">
        <v>0.93440000000000001</v>
      </c>
      <c r="I36" s="105">
        <v>2.39</v>
      </c>
      <c r="J36" s="84">
        <f>(5-0)/27</f>
        <v>0.18518518518518517</v>
      </c>
      <c r="K36" s="84">
        <f>22/27</f>
        <v>0.81481481481481477</v>
      </c>
      <c r="L36" s="96">
        <v>25</v>
      </c>
    </row>
    <row r="37" spans="1:12" x14ac:dyDescent="0.25">
      <c r="A37" s="3" t="s">
        <v>200</v>
      </c>
      <c r="B37" s="3" t="s">
        <v>351</v>
      </c>
      <c r="C37" s="2">
        <v>219</v>
      </c>
      <c r="D37" s="2">
        <v>106</v>
      </c>
      <c r="E37" s="5">
        <v>113</v>
      </c>
      <c r="F37" s="75">
        <f>'Masters (2 yr) Additive'!V37/E37</f>
        <v>0.20353982300884957</v>
      </c>
      <c r="G37" s="34">
        <v>0.41570000000000001</v>
      </c>
      <c r="H37" s="34">
        <v>0.93440000000000001</v>
      </c>
      <c r="I37" s="74">
        <v>1.64</v>
      </c>
      <c r="J37" s="84">
        <f>(2-0)/140</f>
        <v>1.4285714285714285E-2</v>
      </c>
      <c r="K37" s="84">
        <f>138/140</f>
        <v>0.98571428571428577</v>
      </c>
      <c r="L37" s="96">
        <v>217</v>
      </c>
    </row>
    <row r="38" spans="1:12" x14ac:dyDescent="0.25">
      <c r="A38" s="3" t="s">
        <v>88</v>
      </c>
      <c r="B38" s="3" t="s">
        <v>144</v>
      </c>
      <c r="C38" s="2">
        <v>222</v>
      </c>
      <c r="D38" s="2">
        <v>108</v>
      </c>
      <c r="E38" s="5">
        <v>0</v>
      </c>
      <c r="F38" s="75">
        <v>0</v>
      </c>
      <c r="G38" s="34">
        <v>0.28210000000000002</v>
      </c>
      <c r="H38" s="34">
        <v>0.63639999999999997</v>
      </c>
      <c r="I38" s="74" t="s">
        <v>451</v>
      </c>
      <c r="J38" s="84" t="s">
        <v>451</v>
      </c>
      <c r="K38" s="84" t="s">
        <v>451</v>
      </c>
      <c r="L38" s="97">
        <v>0</v>
      </c>
    </row>
    <row r="39" spans="1:12" x14ac:dyDescent="0.25">
      <c r="A39" s="3" t="s">
        <v>267</v>
      </c>
      <c r="B39" s="3" t="s">
        <v>335</v>
      </c>
      <c r="C39" s="2">
        <v>222</v>
      </c>
      <c r="D39" s="2">
        <v>110</v>
      </c>
      <c r="E39" s="5">
        <v>1</v>
      </c>
      <c r="F39" s="75">
        <f>'Masters (2 yr) Additive'!V39/E39</f>
        <v>0</v>
      </c>
      <c r="G39" s="34">
        <v>0</v>
      </c>
      <c r="H39" s="34">
        <v>0</v>
      </c>
      <c r="I39" s="74" t="s">
        <v>451</v>
      </c>
      <c r="J39" s="84" t="s">
        <v>451</v>
      </c>
      <c r="K39" s="84" t="s">
        <v>451</v>
      </c>
      <c r="L39" s="97">
        <v>0</v>
      </c>
    </row>
    <row r="40" spans="1:12" x14ac:dyDescent="0.25">
      <c r="A40" s="3" t="s">
        <v>102</v>
      </c>
      <c r="B40" s="3" t="s">
        <v>144</v>
      </c>
      <c r="C40" s="2">
        <v>222</v>
      </c>
      <c r="D40" s="2">
        <v>142</v>
      </c>
      <c r="E40" s="5">
        <v>0</v>
      </c>
      <c r="F40" s="75">
        <v>0</v>
      </c>
      <c r="G40" s="34">
        <v>0.17100000000000001</v>
      </c>
      <c r="H40" s="34">
        <v>0.3261</v>
      </c>
      <c r="I40" s="74" t="s">
        <v>451</v>
      </c>
      <c r="J40" s="84" t="s">
        <v>451</v>
      </c>
      <c r="K40" s="84" t="s">
        <v>451</v>
      </c>
      <c r="L40" s="96">
        <v>0</v>
      </c>
    </row>
    <row r="41" spans="1:12" x14ac:dyDescent="0.25">
      <c r="A41" s="3" t="s">
        <v>235</v>
      </c>
      <c r="B41" s="3" t="s">
        <v>236</v>
      </c>
      <c r="C41" s="2">
        <v>219</v>
      </c>
      <c r="D41" s="2">
        <v>116</v>
      </c>
      <c r="E41" s="5">
        <v>182</v>
      </c>
      <c r="F41" s="75">
        <f>'Masters (2 yr) Additive'!V41/E41</f>
        <v>0.21428571428571427</v>
      </c>
      <c r="G41" s="34">
        <v>0.42759999999999998</v>
      </c>
      <c r="H41" s="34">
        <v>0.58850000000000002</v>
      </c>
      <c r="I41" s="74">
        <v>1.77</v>
      </c>
      <c r="J41" s="84">
        <f>(25-4)/217</f>
        <v>9.6774193548387094E-2</v>
      </c>
      <c r="K41" s="84">
        <f>192/217</f>
        <v>0.88479262672811065</v>
      </c>
      <c r="L41" s="96">
        <v>335</v>
      </c>
    </row>
    <row r="42" spans="1:12" x14ac:dyDescent="0.25">
      <c r="A42" s="3" t="s">
        <v>132</v>
      </c>
      <c r="B42" s="3" t="s">
        <v>156</v>
      </c>
      <c r="C42" s="2">
        <v>215</v>
      </c>
      <c r="D42" s="2">
        <v>117</v>
      </c>
      <c r="E42" s="5">
        <v>8</v>
      </c>
      <c r="F42" s="75">
        <f>'Masters (2 yr) Additive'!V42/E42</f>
        <v>0.375</v>
      </c>
      <c r="G42" s="34">
        <v>0.6129</v>
      </c>
      <c r="H42" s="34">
        <v>0.73680000000000001</v>
      </c>
      <c r="I42" s="74">
        <v>1.58</v>
      </c>
      <c r="J42" s="84">
        <f>(4-0)/19</f>
        <v>0.21052631578947367</v>
      </c>
      <c r="K42" s="84">
        <f>15/19</f>
        <v>0.78947368421052633</v>
      </c>
      <c r="L42" s="96">
        <v>24</v>
      </c>
    </row>
    <row r="43" spans="1:12" x14ac:dyDescent="0.25">
      <c r="A43" s="3" t="s">
        <v>204</v>
      </c>
      <c r="B43" s="3" t="s">
        <v>201</v>
      </c>
      <c r="C43" s="2">
        <v>219</v>
      </c>
      <c r="D43" s="2">
        <v>119</v>
      </c>
      <c r="E43" s="5">
        <v>0</v>
      </c>
      <c r="F43" s="75">
        <v>0</v>
      </c>
      <c r="G43" s="34">
        <v>0.57689999999999997</v>
      </c>
      <c r="H43" s="34">
        <v>0.8</v>
      </c>
      <c r="I43" s="74" t="s">
        <v>451</v>
      </c>
      <c r="J43" s="84">
        <f>(3-0)/34</f>
        <v>8.8235294117647065E-2</v>
      </c>
      <c r="K43" s="84">
        <f>31/34</f>
        <v>0.91176470588235292</v>
      </c>
      <c r="L43" s="96">
        <v>20</v>
      </c>
    </row>
    <row r="44" spans="1:12" x14ac:dyDescent="0.25">
      <c r="A44" s="3" t="s">
        <v>18</v>
      </c>
      <c r="B44" s="3" t="s">
        <v>156</v>
      </c>
      <c r="C44" s="2">
        <v>215</v>
      </c>
      <c r="D44" s="2">
        <v>122</v>
      </c>
      <c r="E44" s="5">
        <v>2</v>
      </c>
      <c r="F44" s="75">
        <f>'Masters (2 yr) Additive'!V44/E44</f>
        <v>0.5</v>
      </c>
      <c r="G44" s="34">
        <v>0.65959999999999996</v>
      </c>
      <c r="H44" s="34">
        <v>0.4516</v>
      </c>
      <c r="I44" s="74">
        <v>3.08</v>
      </c>
      <c r="J44" s="84">
        <f>(0-0)/3</f>
        <v>0</v>
      </c>
      <c r="K44" s="84">
        <f>3/3</f>
        <v>1</v>
      </c>
      <c r="L44" s="96">
        <v>5</v>
      </c>
    </row>
    <row r="45" spans="1:12" x14ac:dyDescent="0.25">
      <c r="A45" s="3" t="s">
        <v>20</v>
      </c>
      <c r="B45" s="3" t="s">
        <v>156</v>
      </c>
      <c r="C45" s="2">
        <v>215</v>
      </c>
      <c r="D45" s="2">
        <v>124</v>
      </c>
      <c r="E45" s="5">
        <v>21</v>
      </c>
      <c r="F45" s="75">
        <f>'Masters (2 yr) Additive'!V45/E45</f>
        <v>0.23809523809523808</v>
      </c>
      <c r="G45" s="34">
        <v>0.4365</v>
      </c>
      <c r="H45" s="34">
        <v>0.52729999999999999</v>
      </c>
      <c r="I45" s="74">
        <v>2.39</v>
      </c>
      <c r="J45" s="84">
        <f>(4-0)/47</f>
        <v>8.5106382978723402E-2</v>
      </c>
      <c r="K45" s="84">
        <f>43/47</f>
        <v>0.91489361702127658</v>
      </c>
      <c r="L45" s="96">
        <v>68</v>
      </c>
    </row>
    <row r="46" spans="1:12" x14ac:dyDescent="0.25">
      <c r="A46" s="3" t="s">
        <v>22</v>
      </c>
      <c r="B46" s="3" t="s">
        <v>156</v>
      </c>
      <c r="C46" s="2">
        <v>215</v>
      </c>
      <c r="D46" s="2">
        <v>125</v>
      </c>
      <c r="E46" s="5">
        <v>5</v>
      </c>
      <c r="F46" s="75">
        <f>'Masters (2 yr) Additive'!V46/E46</f>
        <v>0.4</v>
      </c>
      <c r="G46" s="34">
        <v>8.3299999999999999E-2</v>
      </c>
      <c r="H46" s="34">
        <v>1</v>
      </c>
      <c r="I46" s="74">
        <v>2.02</v>
      </c>
      <c r="J46" s="84">
        <f>(1-0)/18</f>
        <v>5.5555555555555552E-2</v>
      </c>
      <c r="K46" s="84">
        <f>17/18</f>
        <v>0.94444444444444442</v>
      </c>
      <c r="L46" s="96">
        <v>25</v>
      </c>
    </row>
    <row r="47" spans="1:12" x14ac:dyDescent="0.25">
      <c r="A47" s="3" t="s">
        <v>134</v>
      </c>
      <c r="B47" s="3" t="s">
        <v>156</v>
      </c>
      <c r="C47" s="2">
        <v>215</v>
      </c>
      <c r="D47" s="2">
        <v>126</v>
      </c>
      <c r="E47" s="5">
        <v>10</v>
      </c>
      <c r="F47" s="75">
        <f>'Masters (2 yr) Additive'!V47/E47</f>
        <v>0.1</v>
      </c>
      <c r="G47" s="34">
        <v>0.75890000000000002</v>
      </c>
      <c r="H47" s="34">
        <v>0.76470000000000005</v>
      </c>
      <c r="I47" s="74">
        <v>1.04</v>
      </c>
      <c r="J47" s="84">
        <f>(2-0)/18</f>
        <v>0.1111111111111111</v>
      </c>
      <c r="K47" s="84">
        <f>16/18</f>
        <v>0.88888888888888884</v>
      </c>
      <c r="L47" s="96">
        <v>34</v>
      </c>
    </row>
    <row r="48" spans="1:12" x14ac:dyDescent="0.25">
      <c r="A48" s="3" t="s">
        <v>136</v>
      </c>
      <c r="B48" s="3" t="s">
        <v>156</v>
      </c>
      <c r="C48" s="2">
        <v>215</v>
      </c>
      <c r="D48" s="2">
        <v>127</v>
      </c>
      <c r="E48" s="5">
        <v>13</v>
      </c>
      <c r="F48" s="75">
        <f>'Masters (2 yr) Additive'!V48/E48</f>
        <v>7.6923076923076927E-2</v>
      </c>
      <c r="G48" s="34">
        <v>0.90229999999999999</v>
      </c>
      <c r="H48" s="34">
        <v>0.8</v>
      </c>
      <c r="I48" s="74">
        <v>1.04</v>
      </c>
      <c r="J48" s="84">
        <f>(0-0)/82</f>
        <v>0</v>
      </c>
      <c r="K48" s="84">
        <f>82/82</f>
        <v>1</v>
      </c>
      <c r="L48" s="96">
        <v>110</v>
      </c>
    </row>
    <row r="49" spans="1:12" x14ac:dyDescent="0.25">
      <c r="A49" s="3" t="s">
        <v>98</v>
      </c>
      <c r="B49" s="3" t="s">
        <v>144</v>
      </c>
      <c r="C49" s="2">
        <v>222</v>
      </c>
      <c r="D49" s="2">
        <v>130</v>
      </c>
      <c r="E49" s="5">
        <v>0</v>
      </c>
      <c r="F49" s="75">
        <v>0</v>
      </c>
      <c r="G49" s="34">
        <v>0.2838</v>
      </c>
      <c r="H49" s="34">
        <v>0.78569999999999995</v>
      </c>
      <c r="I49" s="74" t="s">
        <v>451</v>
      </c>
      <c r="J49" s="84" t="s">
        <v>451</v>
      </c>
      <c r="K49" s="84" t="s">
        <v>451</v>
      </c>
      <c r="L49" s="96">
        <v>0</v>
      </c>
    </row>
    <row r="50" spans="1:12" x14ac:dyDescent="0.25">
      <c r="A50" s="3" t="s">
        <v>24</v>
      </c>
      <c r="B50" s="3" t="s">
        <v>156</v>
      </c>
      <c r="C50" s="2">
        <v>215</v>
      </c>
      <c r="D50" s="2">
        <v>131</v>
      </c>
      <c r="E50" s="5">
        <v>42</v>
      </c>
      <c r="F50" s="75">
        <f>'Masters (2 yr) Additive'!V50/E50</f>
        <v>0.19047619047619047</v>
      </c>
      <c r="G50" s="34">
        <v>0.7833</v>
      </c>
      <c r="H50" s="34">
        <v>0.90510000000000002</v>
      </c>
      <c r="I50" s="74">
        <v>1.02</v>
      </c>
      <c r="J50" s="84">
        <f>(13-0)/206</f>
        <v>6.3106796116504854E-2</v>
      </c>
      <c r="K50" s="84">
        <f>193/206</f>
        <v>0.93689320388349517</v>
      </c>
      <c r="L50" s="96">
        <v>262</v>
      </c>
    </row>
    <row r="51" spans="1:12" x14ac:dyDescent="0.25">
      <c r="A51" s="3" t="s">
        <v>331</v>
      </c>
      <c r="B51" s="3" t="s">
        <v>336</v>
      </c>
      <c r="C51" s="2">
        <v>222</v>
      </c>
      <c r="D51" s="2">
        <v>132</v>
      </c>
      <c r="E51" s="5">
        <v>27</v>
      </c>
      <c r="F51" s="75">
        <f>'Masters (2 yr) Additive'!V51/E51</f>
        <v>3.7037037037037035E-2</v>
      </c>
      <c r="G51" s="34">
        <v>0</v>
      </c>
      <c r="H51" s="34">
        <v>0</v>
      </c>
      <c r="I51" s="74">
        <v>0.76</v>
      </c>
      <c r="J51" s="84">
        <f>(20-6)/56</f>
        <v>0.25</v>
      </c>
      <c r="K51" s="84">
        <f>36/56</f>
        <v>0.6428571428571429</v>
      </c>
      <c r="L51" s="96">
        <v>72</v>
      </c>
    </row>
    <row r="52" spans="1:12" x14ac:dyDescent="0.25">
      <c r="A52" s="3" t="s">
        <v>138</v>
      </c>
      <c r="B52" s="3" t="s">
        <v>156</v>
      </c>
      <c r="C52" s="2">
        <v>215</v>
      </c>
      <c r="D52" s="2">
        <v>133</v>
      </c>
      <c r="E52" s="5">
        <v>42</v>
      </c>
      <c r="F52" s="75">
        <f>'Masters (2 yr) Additive'!V52/E52</f>
        <v>0.26190476190476192</v>
      </c>
      <c r="G52" s="34">
        <v>0.47220000000000001</v>
      </c>
      <c r="H52" s="34">
        <v>0.58819999999999995</v>
      </c>
      <c r="I52" s="74">
        <v>1.77</v>
      </c>
      <c r="J52" s="84">
        <f>(8-0)/41</f>
        <v>0.1951219512195122</v>
      </c>
      <c r="K52" s="84">
        <f>33/41</f>
        <v>0.80487804878048785</v>
      </c>
      <c r="L52" s="96">
        <v>64</v>
      </c>
    </row>
    <row r="53" spans="1:12" x14ac:dyDescent="0.25">
      <c r="A53" s="3" t="s">
        <v>365</v>
      </c>
      <c r="B53" s="3" t="s">
        <v>366</v>
      </c>
      <c r="C53" s="2">
        <v>222</v>
      </c>
      <c r="D53" s="2">
        <v>545</v>
      </c>
      <c r="E53" s="5">
        <v>23</v>
      </c>
      <c r="F53" s="75">
        <f>'Masters (2 yr) Additive'!V53/E53</f>
        <v>8.6956521739130432E-2</v>
      </c>
      <c r="G53" s="34">
        <v>0</v>
      </c>
      <c r="H53" s="34">
        <v>0</v>
      </c>
      <c r="I53" s="74">
        <v>1.04</v>
      </c>
      <c r="J53" s="84" t="s">
        <v>451</v>
      </c>
      <c r="K53" s="84" t="s">
        <v>451</v>
      </c>
      <c r="L53" s="96">
        <v>17</v>
      </c>
    </row>
    <row r="54" spans="1:12" x14ac:dyDescent="0.25">
      <c r="A54" s="3" t="s">
        <v>186</v>
      </c>
      <c r="B54" s="3" t="s">
        <v>183</v>
      </c>
      <c r="C54" s="2">
        <v>217</v>
      </c>
      <c r="D54" s="2">
        <v>135</v>
      </c>
      <c r="E54" s="5">
        <v>28</v>
      </c>
      <c r="F54" s="75">
        <f>'Masters (2 yr) Additive'!V54/E54</f>
        <v>0.25</v>
      </c>
      <c r="G54" s="34">
        <v>0.66039999999999999</v>
      </c>
      <c r="H54" s="34">
        <v>0.98570000000000002</v>
      </c>
      <c r="I54" s="74">
        <v>2.77</v>
      </c>
      <c r="J54" s="84">
        <f>(10-0)/39</f>
        <v>0.25641025641025639</v>
      </c>
      <c r="K54" s="84">
        <f>29/39</f>
        <v>0.74358974358974361</v>
      </c>
      <c r="L54" s="96">
        <v>58</v>
      </c>
    </row>
    <row r="55" spans="1:12" x14ac:dyDescent="0.25">
      <c r="A55" s="3" t="s">
        <v>146</v>
      </c>
      <c r="B55" s="3" t="s">
        <v>147</v>
      </c>
      <c r="C55" s="2">
        <v>214</v>
      </c>
      <c r="D55" s="2">
        <v>136</v>
      </c>
      <c r="E55" s="5">
        <v>88</v>
      </c>
      <c r="F55" s="75">
        <f>'Masters (2 yr) Additive'!V55/E55</f>
        <v>0.25</v>
      </c>
      <c r="G55" s="34">
        <v>0.64810000000000001</v>
      </c>
      <c r="H55" s="34">
        <v>0.42570000000000002</v>
      </c>
      <c r="I55" s="74">
        <v>2.39</v>
      </c>
      <c r="J55" s="84">
        <f>(22-3)/93</f>
        <v>0.20430107526881722</v>
      </c>
      <c r="K55" s="84">
        <f>71/93</f>
        <v>0.76344086021505375</v>
      </c>
      <c r="L55" s="96">
        <v>120</v>
      </c>
    </row>
    <row r="56" spans="1:12" x14ac:dyDescent="0.25">
      <c r="A56" s="3" t="s">
        <v>280</v>
      </c>
      <c r="B56" s="3" t="s">
        <v>335</v>
      </c>
      <c r="C56" s="2">
        <v>222</v>
      </c>
      <c r="D56" s="2">
        <v>140</v>
      </c>
      <c r="E56" s="5">
        <v>0</v>
      </c>
      <c r="F56" s="75">
        <v>0</v>
      </c>
      <c r="G56" s="34">
        <v>0.14019999999999999</v>
      </c>
      <c r="H56" s="34">
        <v>0.8</v>
      </c>
      <c r="I56" s="74" t="s">
        <v>451</v>
      </c>
      <c r="J56" s="84">
        <f>(0-0)/1</f>
        <v>0</v>
      </c>
      <c r="K56" s="84">
        <f>1/1</f>
        <v>1</v>
      </c>
      <c r="L56" s="96">
        <v>2</v>
      </c>
    </row>
    <row r="57" spans="1:12" x14ac:dyDescent="0.25">
      <c r="A57" s="113" t="s">
        <v>488</v>
      </c>
      <c r="B57" s="68" t="s">
        <v>201</v>
      </c>
      <c r="C57" s="113">
        <v>219</v>
      </c>
      <c r="D57" s="113">
        <v>571</v>
      </c>
      <c r="E57" s="113">
        <v>7</v>
      </c>
      <c r="F57" s="75">
        <f>'Masters (2 yr) Additive'!V20/E57</f>
        <v>0.2857142857142857</v>
      </c>
      <c r="G57" s="115" t="s">
        <v>451</v>
      </c>
      <c r="H57" s="115" t="s">
        <v>451</v>
      </c>
      <c r="I57" s="115" t="s">
        <v>451</v>
      </c>
      <c r="J57" s="115" t="s">
        <v>451</v>
      </c>
      <c r="K57" s="115" t="s">
        <v>451</v>
      </c>
      <c r="L57" s="96" t="s">
        <v>451</v>
      </c>
    </row>
  </sheetData>
  <sheetProtection password="EC77" sheet="1" objects="1" scenarios="1"/>
  <sortState ref="A7:L57">
    <sortCondition ref="A7:A56"/>
  </sortState>
  <mergeCells count="5">
    <mergeCell ref="A1:L1"/>
    <mergeCell ref="E2:L3"/>
    <mergeCell ref="E4:H4"/>
    <mergeCell ref="I4:J4"/>
    <mergeCell ref="K4:L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D6" sqref="D6"/>
    </sheetView>
  </sheetViews>
  <sheetFormatPr defaultRowHeight="15" x14ac:dyDescent="0.25"/>
  <cols>
    <col min="1" max="1" width="34.140625" customWidth="1"/>
    <col min="2" max="2" width="8.5703125" customWidth="1"/>
    <col min="3" max="3" width="10" customWidth="1"/>
    <col min="4" max="4" width="16.5703125" customWidth="1"/>
    <col min="5" max="5" width="16.28515625" customWidth="1"/>
    <col min="6" max="6" width="20" customWidth="1"/>
    <col min="7" max="7" width="22.85546875" customWidth="1"/>
    <col min="8" max="8" width="17.5703125" customWidth="1"/>
    <col min="9" max="9" width="20" customWidth="1"/>
    <col min="10" max="10" width="23.42578125" customWidth="1"/>
    <col min="11" max="11" width="18.140625" customWidth="1"/>
  </cols>
  <sheetData>
    <row r="1" spans="1:11" ht="18.75" x14ac:dyDescent="0.25">
      <c r="A1" s="207" t="s">
        <v>525</v>
      </c>
      <c r="B1" s="207"/>
      <c r="C1" s="207"/>
      <c r="D1" s="207"/>
      <c r="E1" s="207"/>
      <c r="F1" s="207"/>
      <c r="G1" s="207"/>
      <c r="H1" s="207"/>
      <c r="I1" s="207"/>
      <c r="J1" s="207"/>
      <c r="K1" s="207"/>
    </row>
    <row r="2" spans="1:11" x14ac:dyDescent="0.25">
      <c r="A2" s="62" t="s">
        <v>399</v>
      </c>
      <c r="B2" s="63"/>
      <c r="C2" s="63"/>
      <c r="D2" s="208" t="s">
        <v>401</v>
      </c>
      <c r="E2" s="208"/>
      <c r="F2" s="208"/>
      <c r="G2" s="208"/>
      <c r="H2" s="208"/>
      <c r="I2" s="208"/>
      <c r="J2" s="208"/>
      <c r="K2" s="208"/>
    </row>
    <row r="3" spans="1:11" x14ac:dyDescent="0.25">
      <c r="A3" s="62" t="s">
        <v>399</v>
      </c>
      <c r="B3" s="63"/>
      <c r="C3" s="63"/>
      <c r="D3" s="208"/>
      <c r="E3" s="208"/>
      <c r="F3" s="208"/>
      <c r="G3" s="208"/>
      <c r="H3" s="208"/>
      <c r="I3" s="208"/>
      <c r="J3" s="208"/>
      <c r="K3" s="208"/>
    </row>
    <row r="4" spans="1:11" ht="18.75" x14ac:dyDescent="0.3">
      <c r="A4" s="62"/>
      <c r="B4" s="63" t="s">
        <v>399</v>
      </c>
      <c r="C4" s="63"/>
      <c r="D4" s="209" t="s">
        <v>521</v>
      </c>
      <c r="E4" s="209"/>
      <c r="F4" s="209"/>
      <c r="G4" s="209"/>
      <c r="H4" s="210" t="s">
        <v>402</v>
      </c>
      <c r="I4" s="211"/>
      <c r="J4" s="212" t="s">
        <v>403</v>
      </c>
      <c r="K4" s="212"/>
    </row>
    <row r="5" spans="1:11" x14ac:dyDescent="0.25">
      <c r="A5" s="62"/>
      <c r="B5" s="63"/>
      <c r="C5" s="63"/>
      <c r="D5" s="78">
        <v>1</v>
      </c>
      <c r="E5" s="78">
        <v>2</v>
      </c>
      <c r="F5" s="78">
        <v>3</v>
      </c>
      <c r="G5" s="78">
        <v>4</v>
      </c>
      <c r="H5" s="79">
        <v>5</v>
      </c>
      <c r="I5" s="79">
        <v>6</v>
      </c>
      <c r="J5" s="42">
        <v>7</v>
      </c>
      <c r="K5" s="42">
        <v>8</v>
      </c>
    </row>
    <row r="6" spans="1:11" ht="39" x14ac:dyDescent="0.25">
      <c r="A6" s="21" t="s">
        <v>408</v>
      </c>
      <c r="B6" s="21" t="s">
        <v>404</v>
      </c>
      <c r="C6" s="22" t="s">
        <v>1</v>
      </c>
      <c r="D6" s="127" t="s">
        <v>446</v>
      </c>
      <c r="E6" s="127" t="s">
        <v>447</v>
      </c>
      <c r="F6" s="139" t="s">
        <v>457</v>
      </c>
      <c r="G6" s="139" t="s">
        <v>458</v>
      </c>
      <c r="H6" s="127" t="s">
        <v>532</v>
      </c>
      <c r="I6" s="124" t="s">
        <v>459</v>
      </c>
      <c r="J6" s="125" t="s">
        <v>460</v>
      </c>
      <c r="K6" s="127" t="s">
        <v>483</v>
      </c>
    </row>
    <row r="7" spans="1:11" x14ac:dyDescent="0.25">
      <c r="A7" s="3" t="s">
        <v>40</v>
      </c>
      <c r="B7" s="2">
        <v>216</v>
      </c>
      <c r="C7" s="2">
        <v>349</v>
      </c>
      <c r="D7" s="74">
        <v>0</v>
      </c>
      <c r="E7" s="74">
        <v>0</v>
      </c>
      <c r="F7" s="122"/>
      <c r="G7" s="122"/>
      <c r="H7" s="74" t="s">
        <v>451</v>
      </c>
      <c r="I7" s="74" t="s">
        <v>451</v>
      </c>
      <c r="J7" s="74" t="s">
        <v>451</v>
      </c>
      <c r="K7" s="74">
        <v>0</v>
      </c>
    </row>
    <row r="8" spans="1:11" x14ac:dyDescent="0.25">
      <c r="A8" s="3" t="s">
        <v>35</v>
      </c>
      <c r="B8" s="2">
        <v>216</v>
      </c>
      <c r="C8" s="2">
        <v>83</v>
      </c>
      <c r="D8" s="74">
        <v>1</v>
      </c>
      <c r="E8" s="74">
        <v>0</v>
      </c>
      <c r="F8" s="122"/>
      <c r="G8" s="122"/>
      <c r="H8" s="74" t="s">
        <v>451</v>
      </c>
      <c r="I8" s="74" t="s">
        <v>451</v>
      </c>
      <c r="J8" s="74" t="s">
        <v>451</v>
      </c>
      <c r="K8" s="74">
        <v>0</v>
      </c>
    </row>
  </sheetData>
  <sheetProtection password="EC77" sheet="1" objects="1" scenarios="1"/>
  <mergeCells count="5">
    <mergeCell ref="A1:K1"/>
    <mergeCell ref="D2:K3"/>
    <mergeCell ref="D4:G4"/>
    <mergeCell ref="H4:I4"/>
    <mergeCell ref="J4: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6" sqref="A6"/>
    </sheetView>
  </sheetViews>
  <sheetFormatPr defaultRowHeight="15" x14ac:dyDescent="0.25"/>
  <cols>
    <col min="1" max="1" width="36" bestFit="1" customWidth="1"/>
    <col min="2" max="2" width="7.140625" bestFit="1" customWidth="1"/>
    <col min="3" max="3" width="7.28515625" bestFit="1" customWidth="1"/>
    <col min="4" max="4" width="21.5703125" customWidth="1"/>
    <col min="5" max="5" width="18.42578125" customWidth="1"/>
    <col min="6" max="6" width="22.28515625" customWidth="1"/>
    <col min="7" max="7" width="21.28515625" customWidth="1"/>
    <col min="8" max="8" width="20.85546875" customWidth="1"/>
    <col min="9" max="9" width="19.42578125" customWidth="1"/>
    <col min="10" max="10" width="20.42578125" customWidth="1"/>
    <col min="11" max="11" width="20.85546875" customWidth="1"/>
  </cols>
  <sheetData>
    <row r="1" spans="1:11" ht="18.75" x14ac:dyDescent="0.25">
      <c r="A1" s="191" t="s">
        <v>443</v>
      </c>
      <c r="B1" s="192"/>
      <c r="C1" s="192"/>
      <c r="D1" s="192"/>
      <c r="E1" s="192"/>
      <c r="F1" s="192"/>
      <c r="G1" s="192"/>
      <c r="H1" s="192"/>
      <c r="I1" s="192"/>
      <c r="J1" s="192"/>
      <c r="K1" s="193"/>
    </row>
    <row r="2" spans="1:11" x14ac:dyDescent="0.25">
      <c r="A2" s="40" t="s">
        <v>399</v>
      </c>
      <c r="B2" s="86"/>
      <c r="C2" s="86"/>
      <c r="D2" s="194" t="s">
        <v>401</v>
      </c>
      <c r="E2" s="195"/>
      <c r="F2" s="195"/>
      <c r="G2" s="195"/>
      <c r="H2" s="195"/>
      <c r="I2" s="195"/>
      <c r="J2" s="195"/>
      <c r="K2" s="196"/>
    </row>
    <row r="3" spans="1:11" x14ac:dyDescent="0.25">
      <c r="A3" s="40" t="s">
        <v>399</v>
      </c>
      <c r="B3" s="86"/>
      <c r="C3" s="86"/>
      <c r="D3" s="197"/>
      <c r="E3" s="198"/>
      <c r="F3" s="198"/>
      <c r="G3" s="198"/>
      <c r="H3" s="198"/>
      <c r="I3" s="198"/>
      <c r="J3" s="198"/>
      <c r="K3" s="199"/>
    </row>
    <row r="4" spans="1:11" ht="18.75" x14ac:dyDescent="0.3">
      <c r="A4" s="40"/>
      <c r="B4" s="86" t="s">
        <v>399</v>
      </c>
      <c r="C4" s="86"/>
      <c r="D4" s="200" t="s">
        <v>521</v>
      </c>
      <c r="E4" s="201"/>
      <c r="F4" s="201"/>
      <c r="G4" s="202"/>
      <c r="H4" s="203" t="s">
        <v>402</v>
      </c>
      <c r="I4" s="204"/>
      <c r="J4" s="205" t="s">
        <v>403</v>
      </c>
      <c r="K4" s="206"/>
    </row>
    <row r="5" spans="1:11" x14ac:dyDescent="0.25">
      <c r="A5" s="41"/>
      <c r="B5" s="87"/>
      <c r="C5" s="87"/>
      <c r="D5" s="78">
        <v>1</v>
      </c>
      <c r="E5" s="78">
        <v>2</v>
      </c>
      <c r="F5" s="78">
        <v>3</v>
      </c>
      <c r="G5" s="78">
        <v>4</v>
      </c>
      <c r="H5" s="79">
        <v>5</v>
      </c>
      <c r="I5" s="79">
        <v>6</v>
      </c>
      <c r="J5" s="42">
        <v>7</v>
      </c>
      <c r="K5" s="42">
        <v>8</v>
      </c>
    </row>
    <row r="6" spans="1:11" ht="39" x14ac:dyDescent="0.25">
      <c r="A6" s="21" t="s">
        <v>405</v>
      </c>
      <c r="B6" s="21" t="s">
        <v>404</v>
      </c>
      <c r="C6" s="22" t="s">
        <v>1</v>
      </c>
      <c r="D6" s="127" t="s">
        <v>446</v>
      </c>
      <c r="E6" s="127" t="s">
        <v>447</v>
      </c>
      <c r="F6" s="139" t="s">
        <v>457</v>
      </c>
      <c r="G6" s="139" t="s">
        <v>458</v>
      </c>
      <c r="H6" s="127" t="s">
        <v>502</v>
      </c>
      <c r="I6" s="124" t="s">
        <v>459</v>
      </c>
      <c r="J6" s="125" t="s">
        <v>460</v>
      </c>
      <c r="K6" s="127" t="s">
        <v>483</v>
      </c>
    </row>
    <row r="7" spans="1:11" x14ac:dyDescent="0.25">
      <c r="A7" s="68" t="s">
        <v>3</v>
      </c>
      <c r="B7" s="67">
        <v>219</v>
      </c>
      <c r="C7" s="67">
        <v>343</v>
      </c>
      <c r="D7" s="117">
        <v>111</v>
      </c>
      <c r="E7" s="118">
        <f>16/D7</f>
        <v>0.14414414414414414</v>
      </c>
      <c r="F7" s="119">
        <v>0.51291079812206575</v>
      </c>
      <c r="G7" s="120">
        <v>0.75970000000000004</v>
      </c>
      <c r="H7" s="117">
        <v>1.76</v>
      </c>
      <c r="I7" s="121">
        <f>(126-1)/314</f>
        <v>0.39808917197452232</v>
      </c>
      <c r="J7" s="121">
        <f>188/314</f>
        <v>0.59872611464968151</v>
      </c>
      <c r="K7" s="117">
        <v>374</v>
      </c>
    </row>
    <row r="8" spans="1:11" x14ac:dyDescent="0.25">
      <c r="A8" s="68" t="s">
        <v>31</v>
      </c>
      <c r="B8" s="67">
        <v>211</v>
      </c>
      <c r="C8" s="67">
        <v>111</v>
      </c>
      <c r="D8" s="117">
        <v>24</v>
      </c>
      <c r="E8" s="118">
        <f>3/D8</f>
        <v>0.125</v>
      </c>
      <c r="F8" s="119">
        <v>0.51898734177215189</v>
      </c>
      <c r="G8" s="120">
        <v>0.95121951219512191</v>
      </c>
      <c r="H8" s="117">
        <v>3.98</v>
      </c>
      <c r="I8" s="121">
        <f>(11-0)/20</f>
        <v>0.55000000000000004</v>
      </c>
      <c r="J8" s="121">
        <f>9/20</f>
        <v>0.45</v>
      </c>
      <c r="K8" s="117">
        <v>27</v>
      </c>
    </row>
  </sheetData>
  <sheetProtection password="EC77" sheet="1" objects="1" scenarios="1"/>
  <mergeCells count="5">
    <mergeCell ref="A1:K1"/>
    <mergeCell ref="D2:K3"/>
    <mergeCell ref="D4:G4"/>
    <mergeCell ref="H4:I4"/>
    <mergeCell ref="J4:K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opLeftCell="J1" zoomScaleNormal="100" workbookViewId="0">
      <selection activeCell="U5" sqref="U5"/>
    </sheetView>
  </sheetViews>
  <sheetFormatPr defaultRowHeight="15" x14ac:dyDescent="0.25"/>
  <cols>
    <col min="1" max="1" width="38" customWidth="1"/>
    <col min="2" max="2" width="10.7109375" customWidth="1"/>
    <col min="3" max="3" width="8.42578125" customWidth="1"/>
    <col min="4" max="9" width="11.140625" customWidth="1"/>
    <col min="10" max="10" width="13.140625" customWidth="1"/>
    <col min="11" max="11" width="13.5703125" customWidth="1"/>
    <col min="12" max="12" width="14.42578125" customWidth="1"/>
    <col min="13" max="13" width="11.140625" customWidth="1"/>
    <col min="14" max="15" width="11" customWidth="1"/>
    <col min="16" max="16" width="12.85546875" customWidth="1"/>
    <col min="17" max="18" width="11" customWidth="1"/>
    <col min="19" max="19" width="13.7109375" customWidth="1"/>
    <col min="20" max="20" width="13.140625" customWidth="1"/>
    <col min="21" max="21" width="11.7109375" customWidth="1"/>
    <col min="22" max="22" width="13.85546875" customWidth="1"/>
    <col min="23" max="23" width="12.7109375" customWidth="1"/>
    <col min="24" max="24" width="14.140625" customWidth="1"/>
    <col min="25" max="25" width="13.7109375" customWidth="1"/>
  </cols>
  <sheetData>
    <row r="1" spans="1:25" ht="18.75" x14ac:dyDescent="0.3">
      <c r="A1" s="213" t="s">
        <v>518</v>
      </c>
      <c r="B1" s="213"/>
      <c r="C1" s="213"/>
      <c r="D1" s="213"/>
      <c r="E1" s="213"/>
      <c r="F1" s="213"/>
      <c r="G1" s="213"/>
      <c r="H1" s="213"/>
      <c r="I1" s="213"/>
      <c r="J1" s="213"/>
      <c r="K1" s="213"/>
      <c r="L1" s="213"/>
      <c r="M1" s="213"/>
      <c r="N1" s="213"/>
      <c r="O1" s="213"/>
      <c r="P1" s="213"/>
      <c r="Q1" s="213"/>
      <c r="R1" s="213"/>
      <c r="S1" s="213"/>
      <c r="T1" s="213"/>
      <c r="U1" s="213"/>
      <c r="V1" s="213"/>
      <c r="W1" s="213"/>
      <c r="X1" s="213"/>
      <c r="Y1" s="213"/>
    </row>
    <row r="2" spans="1:25" ht="18.75" x14ac:dyDescent="0.25">
      <c r="A2" s="214" t="s">
        <v>399</v>
      </c>
      <c r="B2" s="214"/>
      <c r="C2" s="214"/>
      <c r="D2" s="215" t="s">
        <v>406</v>
      </c>
      <c r="E2" s="215"/>
      <c r="F2" s="215"/>
      <c r="G2" s="215"/>
      <c r="H2" s="215"/>
      <c r="I2" s="215"/>
      <c r="J2" s="215"/>
      <c r="K2" s="215"/>
      <c r="L2" s="215"/>
      <c r="M2" s="215"/>
      <c r="N2" s="215"/>
      <c r="O2" s="215"/>
      <c r="P2" s="215"/>
      <c r="Q2" s="215"/>
      <c r="R2" s="215"/>
      <c r="S2" s="215"/>
      <c r="T2" s="215"/>
      <c r="U2" s="215"/>
      <c r="V2" s="215"/>
      <c r="W2" s="215"/>
      <c r="X2" s="215"/>
      <c r="Y2" s="215"/>
    </row>
    <row r="3" spans="1:25" x14ac:dyDescent="0.25">
      <c r="A3" s="214"/>
      <c r="B3" s="214"/>
      <c r="C3" s="214"/>
      <c r="D3" s="186">
        <v>1</v>
      </c>
      <c r="E3" s="186">
        <v>2</v>
      </c>
      <c r="F3" s="186">
        <v>3</v>
      </c>
      <c r="G3" s="181">
        <v>4</v>
      </c>
      <c r="H3" s="181">
        <v>5</v>
      </c>
      <c r="I3" s="181">
        <v>6</v>
      </c>
      <c r="J3" s="181">
        <v>7</v>
      </c>
      <c r="K3" s="181">
        <v>8</v>
      </c>
      <c r="L3" s="181">
        <v>9</v>
      </c>
      <c r="M3" s="181">
        <v>10</v>
      </c>
      <c r="N3" s="181">
        <v>11</v>
      </c>
      <c r="O3" s="181">
        <v>12</v>
      </c>
      <c r="P3" s="182">
        <v>13</v>
      </c>
      <c r="Q3" s="182">
        <v>14</v>
      </c>
      <c r="R3" s="182">
        <v>15</v>
      </c>
      <c r="S3" s="182">
        <v>16</v>
      </c>
      <c r="T3" s="182">
        <v>17</v>
      </c>
      <c r="U3" s="182">
        <v>18</v>
      </c>
      <c r="V3" s="182">
        <v>19</v>
      </c>
      <c r="W3" s="182">
        <v>20</v>
      </c>
      <c r="X3" s="183">
        <v>21</v>
      </c>
      <c r="Y3" s="184">
        <v>22</v>
      </c>
    </row>
    <row r="4" spans="1:25" ht="15" customHeight="1" x14ac:dyDescent="0.25">
      <c r="A4" s="214"/>
      <c r="B4" s="214"/>
      <c r="C4" s="214"/>
      <c r="D4" s="216" t="s">
        <v>382</v>
      </c>
      <c r="E4" s="216"/>
      <c r="F4" s="216"/>
      <c r="G4" s="217" t="s">
        <v>386</v>
      </c>
      <c r="H4" s="217"/>
      <c r="I4" s="217"/>
      <c r="J4" s="217"/>
      <c r="K4" s="217"/>
      <c r="L4" s="217"/>
      <c r="M4" s="217"/>
      <c r="N4" s="217"/>
      <c r="O4" s="217"/>
      <c r="P4" s="219" t="s">
        <v>395</v>
      </c>
      <c r="Q4" s="220"/>
      <c r="R4" s="220"/>
      <c r="S4" s="220"/>
      <c r="T4" s="220"/>
      <c r="U4" s="220"/>
      <c r="V4" s="220"/>
      <c r="W4" s="221"/>
      <c r="X4" s="218" t="s">
        <v>407</v>
      </c>
      <c r="Y4" s="218"/>
    </row>
    <row r="5" spans="1:25" ht="90" x14ac:dyDescent="0.25">
      <c r="A5" s="23" t="s">
        <v>408</v>
      </c>
      <c r="B5" s="23" t="s">
        <v>404</v>
      </c>
      <c r="C5" s="23" t="s">
        <v>1</v>
      </c>
      <c r="D5" s="136" t="s">
        <v>409</v>
      </c>
      <c r="E5" s="136" t="s">
        <v>410</v>
      </c>
      <c r="F5" s="136" t="s">
        <v>411</v>
      </c>
      <c r="G5" s="136" t="s">
        <v>412</v>
      </c>
      <c r="H5" s="136" t="s">
        <v>413</v>
      </c>
      <c r="I5" s="136" t="s">
        <v>414</v>
      </c>
      <c r="J5" s="136" t="s">
        <v>415</v>
      </c>
      <c r="K5" s="136" t="s">
        <v>416</v>
      </c>
      <c r="L5" s="136" t="s">
        <v>417</v>
      </c>
      <c r="M5" s="141" t="s">
        <v>418</v>
      </c>
      <c r="N5" s="136" t="s">
        <v>419</v>
      </c>
      <c r="O5" s="136" t="s">
        <v>420</v>
      </c>
      <c r="P5" s="137" t="s">
        <v>421</v>
      </c>
      <c r="Q5" s="137" t="s">
        <v>422</v>
      </c>
      <c r="R5" s="137" t="s">
        <v>423</v>
      </c>
      <c r="S5" s="137" t="s">
        <v>424</v>
      </c>
      <c r="T5" s="123" t="s">
        <v>425</v>
      </c>
      <c r="U5" s="123" t="s">
        <v>533</v>
      </c>
      <c r="V5" s="124" t="s">
        <v>462</v>
      </c>
      <c r="W5" s="125" t="s">
        <v>461</v>
      </c>
      <c r="X5" s="123" t="s">
        <v>448</v>
      </c>
      <c r="Y5" s="126" t="s">
        <v>449</v>
      </c>
    </row>
    <row r="6" spans="1:25" x14ac:dyDescent="0.25">
      <c r="A6" s="3" t="s">
        <v>484</v>
      </c>
      <c r="B6" s="2">
        <v>215</v>
      </c>
      <c r="C6" s="2" t="s">
        <v>485</v>
      </c>
      <c r="D6" s="32"/>
      <c r="E6" s="32"/>
      <c r="F6" s="32"/>
      <c r="G6" s="32"/>
      <c r="H6" s="32"/>
      <c r="I6" s="32"/>
      <c r="J6" s="48"/>
      <c r="K6" s="48"/>
      <c r="L6" s="48"/>
      <c r="M6" s="48"/>
      <c r="N6" s="48"/>
      <c r="O6" s="48"/>
      <c r="P6" s="65"/>
      <c r="Q6" s="65"/>
      <c r="R6" s="75"/>
      <c r="S6" s="75">
        <v>0.84250000000000003</v>
      </c>
      <c r="T6" s="75">
        <v>6.3500000000000001E-2</v>
      </c>
      <c r="U6" s="65">
        <v>15</v>
      </c>
      <c r="V6" s="75">
        <v>0.66669999999999996</v>
      </c>
      <c r="W6" s="75">
        <v>0.33329999999999999</v>
      </c>
      <c r="X6" s="65">
        <v>2</v>
      </c>
      <c r="Y6" s="75">
        <f>X6/EdD!D7</f>
        <v>2.5000000000000001E-2</v>
      </c>
    </row>
    <row r="7" spans="1:25" x14ac:dyDescent="0.25">
      <c r="A7" s="3" t="s">
        <v>8</v>
      </c>
      <c r="B7" s="2">
        <v>215</v>
      </c>
      <c r="C7" s="2">
        <v>54</v>
      </c>
      <c r="D7" s="32"/>
      <c r="E7" s="32"/>
      <c r="F7" s="32"/>
      <c r="G7" s="32"/>
      <c r="H7" s="32"/>
      <c r="I7" s="32"/>
      <c r="J7" s="48"/>
      <c r="K7" s="48"/>
      <c r="L7" s="48"/>
      <c r="M7" s="48"/>
      <c r="N7" s="48"/>
      <c r="O7" s="48"/>
      <c r="P7" s="65"/>
      <c r="Q7" s="65"/>
      <c r="R7" s="75"/>
      <c r="S7" s="75">
        <v>0.74919999999999998</v>
      </c>
      <c r="T7" s="75">
        <v>6.3E-3</v>
      </c>
      <c r="U7" s="65">
        <v>14</v>
      </c>
      <c r="V7" s="75">
        <f>(10-5)/10</f>
        <v>0.5</v>
      </c>
      <c r="W7" s="75">
        <f>0/10</f>
        <v>0</v>
      </c>
      <c r="X7" s="65">
        <v>0</v>
      </c>
      <c r="Y7" s="75">
        <f>X7/EdD!D8</f>
        <v>0</v>
      </c>
    </row>
    <row r="8" spans="1:25" x14ac:dyDescent="0.25">
      <c r="A8" s="3" t="s">
        <v>12</v>
      </c>
      <c r="B8" s="2">
        <v>215</v>
      </c>
      <c r="C8" s="2">
        <v>80</v>
      </c>
      <c r="D8" s="32"/>
      <c r="E8" s="32"/>
      <c r="F8" s="32"/>
      <c r="G8" s="32"/>
      <c r="H8" s="32"/>
      <c r="I8" s="32"/>
      <c r="J8" s="48"/>
      <c r="K8" s="48"/>
      <c r="L8" s="48"/>
      <c r="M8" s="48"/>
      <c r="N8" s="48"/>
      <c r="O8" s="48"/>
      <c r="P8" s="65"/>
      <c r="Q8" s="65"/>
      <c r="R8" s="75"/>
      <c r="S8" s="75">
        <v>0.74770000000000003</v>
      </c>
      <c r="T8" s="75">
        <v>9.2999999999999992E-3</v>
      </c>
      <c r="U8" s="65">
        <v>17</v>
      </c>
      <c r="V8" s="75">
        <f>(6-1)/11</f>
        <v>0.45454545454545453</v>
      </c>
      <c r="W8" s="75">
        <f>5/11</f>
        <v>0.45454545454545453</v>
      </c>
      <c r="X8" s="65">
        <v>1</v>
      </c>
      <c r="Y8" s="75">
        <f>X8/EdD!D9</f>
        <v>2.1276595744680851E-2</v>
      </c>
    </row>
    <row r="9" spans="1:25" x14ac:dyDescent="0.25">
      <c r="A9" s="3" t="s">
        <v>14</v>
      </c>
      <c r="B9" s="2">
        <v>215</v>
      </c>
      <c r="C9" s="2">
        <v>91</v>
      </c>
      <c r="D9" s="32"/>
      <c r="E9" s="32"/>
      <c r="F9" s="32"/>
      <c r="G9" s="32"/>
      <c r="H9" s="32"/>
      <c r="I9" s="32"/>
      <c r="J9" s="48"/>
      <c r="K9" s="48"/>
      <c r="L9" s="48"/>
      <c r="M9" s="48"/>
      <c r="N9" s="48"/>
      <c r="O9" s="48"/>
      <c r="P9" s="65"/>
      <c r="Q9" s="65"/>
      <c r="R9" s="75"/>
      <c r="S9" s="75">
        <v>1</v>
      </c>
      <c r="T9" s="75">
        <v>0.57140000000000002</v>
      </c>
      <c r="U9" s="65">
        <v>0</v>
      </c>
      <c r="V9" s="75">
        <v>0</v>
      </c>
      <c r="W9" s="75">
        <v>0</v>
      </c>
      <c r="X9" s="65">
        <v>0</v>
      </c>
      <c r="Y9" s="75">
        <v>0</v>
      </c>
    </row>
    <row r="10" spans="1:25" x14ac:dyDescent="0.25">
      <c r="A10" s="3" t="s">
        <v>16</v>
      </c>
      <c r="B10" s="2">
        <v>215</v>
      </c>
      <c r="C10" s="2">
        <v>98</v>
      </c>
      <c r="D10" s="32"/>
      <c r="E10" s="32"/>
      <c r="F10" s="32"/>
      <c r="G10" s="32"/>
      <c r="H10" s="32"/>
      <c r="I10" s="32"/>
      <c r="J10" s="48"/>
      <c r="K10" s="48"/>
      <c r="L10" s="48"/>
      <c r="M10" s="48"/>
      <c r="N10" s="48"/>
      <c r="O10" s="48"/>
      <c r="P10" s="65"/>
      <c r="Q10" s="65"/>
      <c r="R10" s="75"/>
      <c r="S10" s="75">
        <v>1</v>
      </c>
      <c r="T10" s="75">
        <v>0</v>
      </c>
      <c r="U10" s="65">
        <v>0</v>
      </c>
      <c r="V10" s="75">
        <v>0</v>
      </c>
      <c r="W10" s="75">
        <v>0</v>
      </c>
      <c r="X10" s="65">
        <v>0</v>
      </c>
      <c r="Y10" s="75">
        <v>0</v>
      </c>
    </row>
    <row r="11" spans="1:25" x14ac:dyDescent="0.25">
      <c r="A11" s="3" t="s">
        <v>18</v>
      </c>
      <c r="B11" s="2">
        <v>215</v>
      </c>
      <c r="C11" s="2">
        <v>122</v>
      </c>
      <c r="D11" s="32"/>
      <c r="E11" s="32"/>
      <c r="F11" s="32"/>
      <c r="G11" s="32"/>
      <c r="H11" s="32"/>
      <c r="I11" s="32"/>
      <c r="J11" s="48"/>
      <c r="K11" s="48"/>
      <c r="L11" s="48"/>
      <c r="M11" s="48"/>
      <c r="N11" s="48"/>
      <c r="O11" s="48"/>
      <c r="P11" s="65"/>
      <c r="Q11" s="65"/>
      <c r="R11" s="75"/>
      <c r="S11" s="75">
        <v>0</v>
      </c>
      <c r="T11" s="75">
        <v>0</v>
      </c>
      <c r="U11" s="65">
        <v>0</v>
      </c>
      <c r="V11" s="75">
        <v>0</v>
      </c>
      <c r="W11" s="75">
        <v>0</v>
      </c>
      <c r="X11" s="65">
        <v>0</v>
      </c>
      <c r="Y11" s="75">
        <v>0</v>
      </c>
    </row>
    <row r="12" spans="1:25" x14ac:dyDescent="0.25">
      <c r="A12" s="3" t="s">
        <v>20</v>
      </c>
      <c r="B12" s="2">
        <v>215</v>
      </c>
      <c r="C12" s="2">
        <v>124</v>
      </c>
      <c r="D12" s="32"/>
      <c r="E12" s="32"/>
      <c r="F12" s="32"/>
      <c r="G12" s="32"/>
      <c r="H12" s="32"/>
      <c r="I12" s="32"/>
      <c r="J12" s="48"/>
      <c r="K12" s="48"/>
      <c r="L12" s="48"/>
      <c r="M12" s="48"/>
      <c r="N12" s="48"/>
      <c r="O12" s="48"/>
      <c r="P12" s="65"/>
      <c r="Q12" s="65"/>
      <c r="R12" s="75"/>
      <c r="S12" s="75">
        <v>1</v>
      </c>
      <c r="T12" s="75">
        <v>0</v>
      </c>
      <c r="U12" s="65">
        <v>0</v>
      </c>
      <c r="V12" s="75">
        <v>0</v>
      </c>
      <c r="W12" s="75">
        <v>0</v>
      </c>
      <c r="X12" s="65">
        <v>0</v>
      </c>
      <c r="Y12" s="75">
        <v>0</v>
      </c>
    </row>
    <row r="13" spans="1:25" x14ac:dyDescent="0.25">
      <c r="A13" s="3" t="s">
        <v>22</v>
      </c>
      <c r="B13" s="2">
        <v>215</v>
      </c>
      <c r="C13" s="2">
        <v>125</v>
      </c>
      <c r="D13" s="32"/>
      <c r="E13" s="32"/>
      <c r="F13" s="32"/>
      <c r="G13" s="32"/>
      <c r="H13" s="32"/>
      <c r="I13" s="32"/>
      <c r="J13" s="48"/>
      <c r="K13" s="48"/>
      <c r="L13" s="48"/>
      <c r="M13" s="48"/>
      <c r="N13" s="48"/>
      <c r="O13" s="48"/>
      <c r="P13" s="65"/>
      <c r="Q13" s="65"/>
      <c r="R13" s="75"/>
      <c r="S13" s="75">
        <v>0</v>
      </c>
      <c r="T13" s="75">
        <v>0</v>
      </c>
      <c r="U13" s="65">
        <v>0</v>
      </c>
      <c r="V13" s="75">
        <v>0</v>
      </c>
      <c r="W13" s="75">
        <v>0</v>
      </c>
      <c r="X13" s="65">
        <v>0</v>
      </c>
      <c r="Y13" s="75">
        <v>0</v>
      </c>
    </row>
    <row r="14" spans="1:25" x14ac:dyDescent="0.25">
      <c r="A14" s="3" t="s">
        <v>24</v>
      </c>
      <c r="B14" s="2">
        <v>215</v>
      </c>
      <c r="C14" s="2">
        <v>131</v>
      </c>
      <c r="D14" s="32"/>
      <c r="E14" s="32"/>
      <c r="F14" s="32"/>
      <c r="G14" s="32"/>
      <c r="H14" s="32"/>
      <c r="I14" s="32"/>
      <c r="J14" s="48"/>
      <c r="K14" s="48"/>
      <c r="L14" s="48"/>
      <c r="M14" s="48"/>
      <c r="N14" s="48"/>
      <c r="O14" s="48"/>
      <c r="P14" s="65"/>
      <c r="Q14" s="65"/>
      <c r="R14" s="75"/>
      <c r="S14" s="75">
        <v>0.8095</v>
      </c>
      <c r="T14" s="75">
        <v>0</v>
      </c>
      <c r="U14" s="65">
        <v>1</v>
      </c>
      <c r="V14" s="75">
        <f>(1-0)/1</f>
        <v>1</v>
      </c>
      <c r="W14" s="75">
        <f>0/1</f>
        <v>0</v>
      </c>
      <c r="X14" s="65">
        <v>1</v>
      </c>
      <c r="Y14" s="75">
        <f>X14/EdD!D15</f>
        <v>0.5</v>
      </c>
    </row>
  </sheetData>
  <sheetProtection password="EC77" sheet="1" objects="1" scenarios="1"/>
  <mergeCells count="7">
    <mergeCell ref="A1:Y1"/>
    <mergeCell ref="A2:C4"/>
    <mergeCell ref="D2:Y2"/>
    <mergeCell ref="D4:F4"/>
    <mergeCell ref="G4:O4"/>
    <mergeCell ref="X4:Y4"/>
    <mergeCell ref="P4:W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List of Programs</vt:lpstr>
      <vt:lpstr>Data Descriptions</vt:lpstr>
      <vt:lpstr>EdD</vt:lpstr>
      <vt:lpstr>Specialist</vt:lpstr>
      <vt:lpstr>Master's (1 yr)</vt:lpstr>
      <vt:lpstr>Master's (2 yr)</vt:lpstr>
      <vt:lpstr>Prof Engineer</vt:lpstr>
      <vt:lpstr>Professional Doctoral</vt:lpstr>
      <vt:lpstr>EdD Additive</vt:lpstr>
      <vt:lpstr>Specialist Additive</vt:lpstr>
      <vt:lpstr>Masters (1 yr) Additive</vt:lpstr>
      <vt:lpstr>Masters (2 yr) Additive</vt:lpstr>
      <vt:lpstr>Engineer (Additive)</vt:lpstr>
      <vt:lpstr>Professional Doctoral Additive</vt:lpstr>
    </vt:vector>
  </TitlesOfParts>
  <Company>UF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Banerjee,Rimjhim</dc:creator>
  <cp:lastModifiedBy>Gregor,Lori L</cp:lastModifiedBy>
  <cp:lastPrinted>2013-05-10T14:31:37Z</cp:lastPrinted>
  <dcterms:created xsi:type="dcterms:W3CDTF">2012-07-20T16:15:19Z</dcterms:created>
  <dcterms:modified xsi:type="dcterms:W3CDTF">2014-08-15T21:42:11Z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