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 userName="Gregor,Lori L" reservationPassword="EC77"/>
  <workbookPr codeName="ThisWorkbook" defaultThemeVersion="124226"/>
  <workbookProtection workbookPassword="EC77" lockStructure="1"/>
  <bookViews>
    <workbookView xWindow="285" yWindow="240" windowWidth="20280" windowHeight="11670" tabRatio="762"/>
  </bookViews>
  <sheets>
    <sheet name="1. Data Descriptions" sheetId="26" r:id="rId1"/>
    <sheet name="2. Criterion Indicator Data" sheetId="16" r:id="rId2"/>
    <sheet name="8 Indicators" sheetId="18" state="hidden" r:id="rId3"/>
    <sheet name="3. Quartile Ranks" sheetId="19" r:id="rId4"/>
    <sheet name="4. Q4-Q1 Differences" sheetId="24" r:id="rId5"/>
    <sheet name="5. Additive Data" sheetId="21" r:id="rId6"/>
    <sheet name="Rank-8" sheetId="20" state="hidden" r:id="rId7"/>
    <sheet name="6. Prog Crit Indic Data" sheetId="27" r:id="rId8"/>
    <sheet name="7. Programs Additive" sheetId="28" r:id="rId9"/>
    <sheet name="8. Quartile Ranks &amp; Q4-Q1 Diffs" sheetId="29" r:id="rId10"/>
    <sheet name="9. Completion &amp; Attrition" sheetId="30" r:id="rId11"/>
  </sheets>
  <definedNames>
    <definedName name="_xlnm._FilterDatabase" localSheetId="5" hidden="1">'5. Additive Data'!$A$2:$AF$63</definedName>
  </definedNames>
  <calcPr calcId="152511"/>
</workbook>
</file>

<file path=xl/calcChain.xml><?xml version="1.0" encoding="utf-8"?>
<calcChain xmlns="http://schemas.openxmlformats.org/spreadsheetml/2006/main">
  <c r="M70" i="16" l="1"/>
  <c r="M79" i="16" l="1"/>
  <c r="M71" i="16" l="1"/>
  <c r="K81" i="18" l="1"/>
  <c r="J81" i="18"/>
  <c r="K77" i="18"/>
  <c r="J77" i="18"/>
  <c r="K71" i="18"/>
  <c r="K70" i="18"/>
  <c r="J70" i="18"/>
  <c r="D69" i="18"/>
  <c r="AH63" i="18"/>
  <c r="AE63" i="18"/>
  <c r="AD63" i="18"/>
  <c r="AC63" i="18"/>
  <c r="AB63" i="18"/>
  <c r="AA63" i="18"/>
  <c r="X63" i="18"/>
  <c r="U63" i="18"/>
  <c r="T63" i="18"/>
  <c r="S63" i="18"/>
  <c r="R63" i="18"/>
  <c r="Q63" i="18"/>
  <c r="K63" i="18"/>
  <c r="AG63" i="18" s="1"/>
  <c r="J63" i="18"/>
  <c r="AF63" i="18" s="1"/>
  <c r="AH62" i="18"/>
  <c r="AE62" i="18"/>
  <c r="AD62" i="18"/>
  <c r="AC62" i="18"/>
  <c r="AB62" i="18"/>
  <c r="AA62" i="18"/>
  <c r="X62" i="18"/>
  <c r="U62" i="18"/>
  <c r="T62" i="18"/>
  <c r="S62" i="18"/>
  <c r="R62" i="18"/>
  <c r="Q62" i="18"/>
  <c r="K62" i="18"/>
  <c r="AG62" i="18" s="1"/>
  <c r="J62" i="18"/>
  <c r="AF62" i="18" s="1"/>
  <c r="D62" i="18"/>
  <c r="AH61" i="18"/>
  <c r="AE61" i="18"/>
  <c r="AD61" i="18"/>
  <c r="AC61" i="18"/>
  <c r="AB61" i="18"/>
  <c r="AA61" i="18"/>
  <c r="X61" i="18"/>
  <c r="U61" i="18"/>
  <c r="T61" i="18"/>
  <c r="S61" i="18"/>
  <c r="R61" i="18"/>
  <c r="Q61" i="18"/>
  <c r="K61" i="18"/>
  <c r="AG61" i="18" s="1"/>
  <c r="J61" i="18"/>
  <c r="AF61" i="18" s="1"/>
  <c r="D61" i="18"/>
  <c r="AH60" i="18"/>
  <c r="AE60" i="18"/>
  <c r="AD60" i="18"/>
  <c r="AC60" i="18"/>
  <c r="AB60" i="18"/>
  <c r="AA60" i="18"/>
  <c r="X60" i="18"/>
  <c r="U60" i="18"/>
  <c r="T60" i="18"/>
  <c r="S60" i="18"/>
  <c r="R60" i="18"/>
  <c r="Q60" i="18"/>
  <c r="K60" i="18"/>
  <c r="AG60" i="18" s="1"/>
  <c r="J60" i="18"/>
  <c r="AF60" i="18" s="1"/>
  <c r="D60" i="18"/>
  <c r="AH59" i="18"/>
  <c r="AE59" i="18"/>
  <c r="AD59" i="18"/>
  <c r="AC59" i="18"/>
  <c r="AB59" i="18"/>
  <c r="AA59" i="18"/>
  <c r="X59" i="18"/>
  <c r="U59" i="18"/>
  <c r="T59" i="18"/>
  <c r="S59" i="18"/>
  <c r="R59" i="18"/>
  <c r="Q59" i="18"/>
  <c r="K59" i="18"/>
  <c r="AG59" i="18" s="1"/>
  <c r="J59" i="18"/>
  <c r="AF59" i="18" s="1"/>
  <c r="D59" i="18"/>
  <c r="AH58" i="18"/>
  <c r="AE58" i="18"/>
  <c r="AD58" i="18"/>
  <c r="AC58" i="18"/>
  <c r="AB58" i="18"/>
  <c r="AA58" i="18"/>
  <c r="X58" i="18"/>
  <c r="U58" i="18"/>
  <c r="T58" i="18"/>
  <c r="S58" i="18"/>
  <c r="R58" i="18"/>
  <c r="Q58" i="18"/>
  <c r="K58" i="18"/>
  <c r="AG58" i="18" s="1"/>
  <c r="J58" i="18"/>
  <c r="AF58" i="18" s="1"/>
  <c r="AH57" i="18"/>
  <c r="AE57" i="18"/>
  <c r="AD57" i="18"/>
  <c r="AC57" i="18"/>
  <c r="AB57" i="18"/>
  <c r="AA57" i="18"/>
  <c r="X57" i="18"/>
  <c r="U57" i="18"/>
  <c r="T57" i="18"/>
  <c r="S57" i="18"/>
  <c r="R57" i="18"/>
  <c r="Q57" i="18"/>
  <c r="K57" i="18"/>
  <c r="AG57" i="18" s="1"/>
  <c r="J57" i="18"/>
  <c r="AF57" i="18" s="1"/>
  <c r="D57" i="18"/>
  <c r="AH56" i="18"/>
  <c r="AE56" i="18"/>
  <c r="AD56" i="18"/>
  <c r="AC56" i="18"/>
  <c r="AB56" i="18"/>
  <c r="AA56" i="18"/>
  <c r="X56" i="18"/>
  <c r="U56" i="18"/>
  <c r="T56" i="18"/>
  <c r="S56" i="18"/>
  <c r="R56" i="18"/>
  <c r="Q56" i="18"/>
  <c r="K56" i="18"/>
  <c r="AG56" i="18" s="1"/>
  <c r="J56" i="18"/>
  <c r="AF56" i="18" s="1"/>
  <c r="AH55" i="18"/>
  <c r="AE55" i="18"/>
  <c r="AD55" i="18"/>
  <c r="AC55" i="18"/>
  <c r="AB55" i="18"/>
  <c r="AA55" i="18"/>
  <c r="X55" i="18"/>
  <c r="U55" i="18"/>
  <c r="T55" i="18"/>
  <c r="S55" i="18"/>
  <c r="R55" i="18"/>
  <c r="Q55" i="18"/>
  <c r="K55" i="18"/>
  <c r="AG55" i="18" s="1"/>
  <c r="J55" i="18"/>
  <c r="AF55" i="18" s="1"/>
  <c r="AE54" i="18"/>
  <c r="U54" i="18"/>
  <c r="L54" i="18"/>
  <c r="AH54" i="18" s="1"/>
  <c r="K54" i="18"/>
  <c r="AG54" i="18" s="1"/>
  <c r="J54" i="18"/>
  <c r="AF54" i="18" s="1"/>
  <c r="H54" i="18"/>
  <c r="AD54" i="18" s="1"/>
  <c r="G54" i="18"/>
  <c r="AC54" i="18" s="1"/>
  <c r="E54" i="18"/>
  <c r="F54" i="18" s="1"/>
  <c r="AH53" i="18"/>
  <c r="AE53" i="18"/>
  <c r="AD53" i="18"/>
  <c r="AC53" i="18"/>
  <c r="AB53" i="18"/>
  <c r="AA53" i="18"/>
  <c r="X53" i="18"/>
  <c r="U53" i="18"/>
  <c r="T53" i="18"/>
  <c r="S53" i="18"/>
  <c r="R53" i="18"/>
  <c r="Q53" i="18"/>
  <c r="K53" i="18"/>
  <c r="AG53" i="18" s="1"/>
  <c r="J53" i="18"/>
  <c r="AF53" i="18" s="1"/>
  <c r="AH52" i="18"/>
  <c r="AE52" i="18"/>
  <c r="AD52" i="18"/>
  <c r="AC52" i="18"/>
  <c r="AB52" i="18"/>
  <c r="AA52" i="18"/>
  <c r="X52" i="18"/>
  <c r="U52" i="18"/>
  <c r="T52" i="18"/>
  <c r="S52" i="18"/>
  <c r="R52" i="18"/>
  <c r="Q52" i="18"/>
  <c r="K52" i="18"/>
  <c r="AG52" i="18" s="1"/>
  <c r="J52" i="18"/>
  <c r="AF52" i="18" s="1"/>
  <c r="D52" i="18"/>
  <c r="AH51" i="18"/>
  <c r="AE51" i="18"/>
  <c r="AD51" i="18"/>
  <c r="AC51" i="18"/>
  <c r="AB51" i="18"/>
  <c r="AA51" i="18"/>
  <c r="X51" i="18"/>
  <c r="U51" i="18"/>
  <c r="T51" i="18"/>
  <c r="S51" i="18"/>
  <c r="R51" i="18"/>
  <c r="Q51" i="18"/>
  <c r="K51" i="18"/>
  <c r="AG51" i="18" s="1"/>
  <c r="J51" i="18"/>
  <c r="AF51" i="18" s="1"/>
  <c r="D51" i="18"/>
  <c r="AH50" i="18"/>
  <c r="AE50" i="18"/>
  <c r="AD50" i="18"/>
  <c r="AC50" i="18"/>
  <c r="AB50" i="18"/>
  <c r="AA50" i="18"/>
  <c r="X50" i="18"/>
  <c r="U50" i="18"/>
  <c r="T50" i="18"/>
  <c r="S50" i="18"/>
  <c r="R50" i="18"/>
  <c r="Q50" i="18"/>
  <c r="K50" i="18"/>
  <c r="AG50" i="18" s="1"/>
  <c r="J50" i="18"/>
  <c r="AF50" i="18" s="1"/>
  <c r="AH49" i="18"/>
  <c r="AE49" i="18"/>
  <c r="AD49" i="18"/>
  <c r="AC49" i="18"/>
  <c r="AB49" i="18"/>
  <c r="AA49" i="18"/>
  <c r="X49" i="18"/>
  <c r="U49" i="18"/>
  <c r="T49" i="18"/>
  <c r="S49" i="18"/>
  <c r="R49" i="18"/>
  <c r="Q49" i="18"/>
  <c r="K49" i="18"/>
  <c r="AG49" i="18" s="1"/>
  <c r="J49" i="18"/>
  <c r="AF49" i="18" s="1"/>
  <c r="D49" i="18"/>
  <c r="AH48" i="18"/>
  <c r="AE48" i="18"/>
  <c r="AD48" i="18"/>
  <c r="AC48" i="18"/>
  <c r="AB48" i="18"/>
  <c r="AA48" i="18"/>
  <c r="X48" i="18"/>
  <c r="U48" i="18"/>
  <c r="T48" i="18"/>
  <c r="S48" i="18"/>
  <c r="R48" i="18"/>
  <c r="Q48" i="18"/>
  <c r="K48" i="18"/>
  <c r="AG48" i="18" s="1"/>
  <c r="J48" i="18"/>
  <c r="AF48" i="18" s="1"/>
  <c r="D48" i="18"/>
  <c r="AE47" i="18"/>
  <c r="U47" i="18"/>
  <c r="L47" i="18"/>
  <c r="AH47" i="18" s="1"/>
  <c r="K47" i="18"/>
  <c r="AG47" i="18" s="1"/>
  <c r="J47" i="18"/>
  <c r="AF47" i="18" s="1"/>
  <c r="H47" i="18"/>
  <c r="AD47" i="18" s="1"/>
  <c r="G47" i="18"/>
  <c r="AC47" i="18" s="1"/>
  <c r="E47" i="18"/>
  <c r="F47" i="18" s="1"/>
  <c r="AH46" i="18"/>
  <c r="AE46" i="18"/>
  <c r="AD46" i="18"/>
  <c r="AC46" i="18"/>
  <c r="AB46" i="18"/>
  <c r="AA46" i="18"/>
  <c r="X46" i="18"/>
  <c r="U46" i="18"/>
  <c r="T46" i="18"/>
  <c r="S46" i="18"/>
  <c r="R46" i="18"/>
  <c r="Q46" i="18"/>
  <c r="K46" i="18"/>
  <c r="AG46" i="18" s="1"/>
  <c r="J46" i="18"/>
  <c r="AF46" i="18" s="1"/>
  <c r="D46" i="18"/>
  <c r="AH45" i="18"/>
  <c r="AE45" i="18"/>
  <c r="AD45" i="18"/>
  <c r="AC45" i="18"/>
  <c r="AB45" i="18"/>
  <c r="AA45" i="18"/>
  <c r="X45" i="18"/>
  <c r="U45" i="18"/>
  <c r="T45" i="18"/>
  <c r="S45" i="18"/>
  <c r="R45" i="18"/>
  <c r="Q45" i="18"/>
  <c r="K45" i="18"/>
  <c r="AG45" i="18" s="1"/>
  <c r="J45" i="18"/>
  <c r="AF45" i="18" s="1"/>
  <c r="D45" i="18"/>
  <c r="AH44" i="18"/>
  <c r="AE44" i="18"/>
  <c r="AD44" i="18"/>
  <c r="AC44" i="18"/>
  <c r="AB44" i="18"/>
  <c r="AA44" i="18"/>
  <c r="X44" i="18"/>
  <c r="U44" i="18"/>
  <c r="T44" i="18"/>
  <c r="S44" i="18"/>
  <c r="R44" i="18"/>
  <c r="Q44" i="18"/>
  <c r="K44" i="18"/>
  <c r="AG44" i="18" s="1"/>
  <c r="J44" i="18"/>
  <c r="AF44" i="18" s="1"/>
  <c r="AE43" i="18"/>
  <c r="U43" i="18"/>
  <c r="L43" i="18"/>
  <c r="AH43" i="18" s="1"/>
  <c r="K43" i="18"/>
  <c r="AG43" i="18" s="1"/>
  <c r="J43" i="18"/>
  <c r="AF43" i="18" s="1"/>
  <c r="H43" i="18"/>
  <c r="AD43" i="18" s="1"/>
  <c r="G43" i="18"/>
  <c r="AC43" i="18" s="1"/>
  <c r="E43" i="18"/>
  <c r="AA43" i="18" s="1"/>
  <c r="AE42" i="18"/>
  <c r="U42" i="18"/>
  <c r="L42" i="18"/>
  <c r="AH42" i="18" s="1"/>
  <c r="K42" i="18"/>
  <c r="AG42" i="18" s="1"/>
  <c r="J42" i="18"/>
  <c r="V42" i="18" s="1"/>
  <c r="H42" i="18"/>
  <c r="AD42" i="18" s="1"/>
  <c r="G42" i="18"/>
  <c r="AC42" i="18" s="1"/>
  <c r="F42" i="18"/>
  <c r="AB42" i="18" s="1"/>
  <c r="E42" i="18"/>
  <c r="AA42" i="18" s="1"/>
  <c r="AE41" i="18"/>
  <c r="AB41" i="18"/>
  <c r="U41" i="18"/>
  <c r="R41" i="18"/>
  <c r="L41" i="18"/>
  <c r="AH41" i="18" s="1"/>
  <c r="K41" i="18"/>
  <c r="AG41" i="18" s="1"/>
  <c r="J41" i="18"/>
  <c r="AF41" i="18" s="1"/>
  <c r="H41" i="18"/>
  <c r="AD41" i="18" s="1"/>
  <c r="G41" i="18"/>
  <c r="AC41" i="18" s="1"/>
  <c r="E41" i="18"/>
  <c r="AA41" i="18" s="1"/>
  <c r="AH40" i="18"/>
  <c r="AE40" i="18"/>
  <c r="AD40" i="18"/>
  <c r="AC40" i="18"/>
  <c r="AB40" i="18"/>
  <c r="AA40" i="18"/>
  <c r="X40" i="18"/>
  <c r="U40" i="18"/>
  <c r="T40" i="18"/>
  <c r="S40" i="18"/>
  <c r="R40" i="18"/>
  <c r="Q40" i="18"/>
  <c r="K40" i="18"/>
  <c r="AG40" i="18" s="1"/>
  <c r="J40" i="18"/>
  <c r="AF40" i="18" s="1"/>
  <c r="AH39" i="18"/>
  <c r="AE39" i="18"/>
  <c r="AD39" i="18"/>
  <c r="AC39" i="18"/>
  <c r="AB39" i="18"/>
  <c r="AA39" i="18"/>
  <c r="X39" i="18"/>
  <c r="U39" i="18"/>
  <c r="T39" i="18"/>
  <c r="S39" i="18"/>
  <c r="R39" i="18"/>
  <c r="Q39" i="18"/>
  <c r="K39" i="18"/>
  <c r="AG39" i="18" s="1"/>
  <c r="J39" i="18"/>
  <c r="AF39" i="18" s="1"/>
  <c r="D39" i="18"/>
  <c r="AH38" i="18"/>
  <c r="AE38" i="18"/>
  <c r="AD38" i="18"/>
  <c r="AC38" i="18"/>
  <c r="AB38" i="18"/>
  <c r="AA38" i="18"/>
  <c r="X38" i="18"/>
  <c r="U38" i="18"/>
  <c r="T38" i="18"/>
  <c r="S38" i="18"/>
  <c r="R38" i="18"/>
  <c r="Q38" i="18"/>
  <c r="K38" i="18"/>
  <c r="AG38" i="18" s="1"/>
  <c r="J38" i="18"/>
  <c r="AF38" i="18" s="1"/>
  <c r="AE37" i="18"/>
  <c r="U37" i="18"/>
  <c r="L37" i="18"/>
  <c r="AH37" i="18" s="1"/>
  <c r="K37" i="18"/>
  <c r="AG37" i="18" s="1"/>
  <c r="J37" i="18"/>
  <c r="AF37" i="18" s="1"/>
  <c r="H37" i="18"/>
  <c r="AD37" i="18" s="1"/>
  <c r="G37" i="18"/>
  <c r="AC37" i="18" s="1"/>
  <c r="E37" i="18"/>
  <c r="F37" i="18" s="1"/>
  <c r="D37" i="18"/>
  <c r="AH36" i="18"/>
  <c r="AE36" i="18"/>
  <c r="AD36" i="18"/>
  <c r="AC36" i="18"/>
  <c r="AB36" i="18"/>
  <c r="AA36" i="18"/>
  <c r="X36" i="18"/>
  <c r="U36" i="18"/>
  <c r="T36" i="18"/>
  <c r="S36" i="18"/>
  <c r="R36" i="18"/>
  <c r="Q36" i="18"/>
  <c r="K36" i="18"/>
  <c r="AG36" i="18" s="1"/>
  <c r="J36" i="18"/>
  <c r="AF36" i="18" s="1"/>
  <c r="AH35" i="18"/>
  <c r="AE35" i="18"/>
  <c r="AD35" i="18"/>
  <c r="AC35" i="18"/>
  <c r="AB35" i="18"/>
  <c r="AA35" i="18"/>
  <c r="X35" i="18"/>
  <c r="U35" i="18"/>
  <c r="T35" i="18"/>
  <c r="S35" i="18"/>
  <c r="R35" i="18"/>
  <c r="Q35" i="18"/>
  <c r="K35" i="18"/>
  <c r="AG35" i="18" s="1"/>
  <c r="J35" i="18"/>
  <c r="AF35" i="18" s="1"/>
  <c r="D35" i="18"/>
  <c r="AH34" i="18"/>
  <c r="AE34" i="18"/>
  <c r="AD34" i="18"/>
  <c r="AC34" i="18"/>
  <c r="AB34" i="18"/>
  <c r="AA34" i="18"/>
  <c r="X34" i="18"/>
  <c r="U34" i="18"/>
  <c r="T34" i="18"/>
  <c r="S34" i="18"/>
  <c r="R34" i="18"/>
  <c r="Q34" i="18"/>
  <c r="K34" i="18"/>
  <c r="AG34" i="18" s="1"/>
  <c r="J34" i="18"/>
  <c r="AF34" i="18" s="1"/>
  <c r="D34" i="18"/>
  <c r="AH33" i="18"/>
  <c r="AE33" i="18"/>
  <c r="AD33" i="18"/>
  <c r="AC33" i="18"/>
  <c r="AB33" i="18"/>
  <c r="AA33" i="18"/>
  <c r="X33" i="18"/>
  <c r="U33" i="18"/>
  <c r="T33" i="18"/>
  <c r="S33" i="18"/>
  <c r="R33" i="18"/>
  <c r="Q33" i="18"/>
  <c r="K33" i="18"/>
  <c r="AG33" i="18" s="1"/>
  <c r="J33" i="18"/>
  <c r="AF33" i="18" s="1"/>
  <c r="AH32" i="18"/>
  <c r="AE32" i="18"/>
  <c r="AD32" i="18"/>
  <c r="AC32" i="18"/>
  <c r="AB32" i="18"/>
  <c r="AA32" i="18"/>
  <c r="X32" i="18"/>
  <c r="U32" i="18"/>
  <c r="T32" i="18"/>
  <c r="S32" i="18"/>
  <c r="R32" i="18"/>
  <c r="Q32" i="18"/>
  <c r="K32" i="18"/>
  <c r="AG32" i="18" s="1"/>
  <c r="J32" i="18"/>
  <c r="AF32" i="18" s="1"/>
  <c r="D32" i="18"/>
  <c r="AH31" i="18"/>
  <c r="AE31" i="18"/>
  <c r="AD31" i="18"/>
  <c r="AC31" i="18"/>
  <c r="AB31" i="18"/>
  <c r="AA31" i="18"/>
  <c r="X31" i="18"/>
  <c r="U31" i="18"/>
  <c r="T31" i="18"/>
  <c r="S31" i="18"/>
  <c r="R31" i="18"/>
  <c r="Q31" i="18"/>
  <c r="K31" i="18"/>
  <c r="AG31" i="18" s="1"/>
  <c r="J31" i="18"/>
  <c r="AF31" i="18" s="1"/>
  <c r="AH30" i="18"/>
  <c r="AE30" i="18"/>
  <c r="AD30" i="18"/>
  <c r="AC30" i="18"/>
  <c r="AB30" i="18"/>
  <c r="AA30" i="18"/>
  <c r="X30" i="18"/>
  <c r="U30" i="18"/>
  <c r="T30" i="18"/>
  <c r="S30" i="18"/>
  <c r="R30" i="18"/>
  <c r="Q30" i="18"/>
  <c r="K30" i="18"/>
  <c r="AG30" i="18" s="1"/>
  <c r="J30" i="18"/>
  <c r="AF30" i="18" s="1"/>
  <c r="D30" i="18"/>
  <c r="AH29" i="18"/>
  <c r="AE29" i="18"/>
  <c r="AD29" i="18"/>
  <c r="AC29" i="18"/>
  <c r="AB29" i="18"/>
  <c r="AA29" i="18"/>
  <c r="X29" i="18"/>
  <c r="U29" i="18"/>
  <c r="T29" i="18"/>
  <c r="S29" i="18"/>
  <c r="R29" i="18"/>
  <c r="Q29" i="18"/>
  <c r="K29" i="18"/>
  <c r="AG29" i="18" s="1"/>
  <c r="J29" i="18"/>
  <c r="AF29" i="18" s="1"/>
  <c r="D29" i="18"/>
  <c r="AH28" i="18"/>
  <c r="AE28" i="18"/>
  <c r="AD28" i="18"/>
  <c r="AC28" i="18"/>
  <c r="AB28" i="18"/>
  <c r="AA28" i="18"/>
  <c r="X28" i="18"/>
  <c r="U28" i="18"/>
  <c r="T28" i="18"/>
  <c r="S28" i="18"/>
  <c r="R28" i="18"/>
  <c r="Q28" i="18"/>
  <c r="K28" i="18"/>
  <c r="AG28" i="18" s="1"/>
  <c r="J28" i="18"/>
  <c r="AF28" i="18" s="1"/>
  <c r="AH27" i="18"/>
  <c r="AE27" i="18"/>
  <c r="AD27" i="18"/>
  <c r="AC27" i="18"/>
  <c r="AB27" i="18"/>
  <c r="AA27" i="18"/>
  <c r="X27" i="18"/>
  <c r="U27" i="18"/>
  <c r="T27" i="18"/>
  <c r="S27" i="18"/>
  <c r="R27" i="18"/>
  <c r="Q27" i="18"/>
  <c r="K27" i="18"/>
  <c r="AG27" i="18" s="1"/>
  <c r="J27" i="18"/>
  <c r="AF27" i="18" s="1"/>
  <c r="D27" i="18"/>
  <c r="AH26" i="18"/>
  <c r="AE26" i="18"/>
  <c r="AD26" i="18"/>
  <c r="AC26" i="18"/>
  <c r="AB26" i="18"/>
  <c r="AA26" i="18"/>
  <c r="X26" i="18"/>
  <c r="U26" i="18"/>
  <c r="T26" i="18"/>
  <c r="S26" i="18"/>
  <c r="R26" i="18"/>
  <c r="Q26" i="18"/>
  <c r="K26" i="18"/>
  <c r="AG26" i="18" s="1"/>
  <c r="J26" i="18"/>
  <c r="AF26" i="18" s="1"/>
  <c r="D26" i="18"/>
  <c r="AE25" i="18"/>
  <c r="U25" i="18"/>
  <c r="L25" i="18"/>
  <c r="AH25" i="18" s="1"/>
  <c r="K25" i="18"/>
  <c r="AG25" i="18" s="1"/>
  <c r="J25" i="18"/>
  <c r="AF25" i="18" s="1"/>
  <c r="H25" i="18"/>
  <c r="AD25" i="18" s="1"/>
  <c r="G25" i="18"/>
  <c r="AC25" i="18" s="1"/>
  <c r="E25" i="18"/>
  <c r="AA25" i="18" s="1"/>
  <c r="AH24" i="18"/>
  <c r="AE24" i="18"/>
  <c r="AD24" i="18"/>
  <c r="AC24" i="18"/>
  <c r="AB24" i="18"/>
  <c r="AA24" i="18"/>
  <c r="X24" i="18"/>
  <c r="U24" i="18"/>
  <c r="T24" i="18"/>
  <c r="S24" i="18"/>
  <c r="R24" i="18"/>
  <c r="Q24" i="18"/>
  <c r="K24" i="18"/>
  <c r="AG24" i="18" s="1"/>
  <c r="J24" i="18"/>
  <c r="AF24" i="18" s="1"/>
  <c r="AE23" i="18"/>
  <c r="AB23" i="18"/>
  <c r="U23" i="18"/>
  <c r="R23" i="18"/>
  <c r="L23" i="18"/>
  <c r="AH23" i="18" s="1"/>
  <c r="K23" i="18"/>
  <c r="AG23" i="18" s="1"/>
  <c r="J23" i="18"/>
  <c r="AF23" i="18" s="1"/>
  <c r="H23" i="18"/>
  <c r="AD23" i="18" s="1"/>
  <c r="G23" i="18"/>
  <c r="AC23" i="18" s="1"/>
  <c r="E23" i="18"/>
  <c r="AA23" i="18" s="1"/>
  <c r="AH22" i="18"/>
  <c r="AE22" i="18"/>
  <c r="AD22" i="18"/>
  <c r="AC22" i="18"/>
  <c r="AB22" i="18"/>
  <c r="AA22" i="18"/>
  <c r="X22" i="18"/>
  <c r="U22" i="18"/>
  <c r="T22" i="18"/>
  <c r="S22" i="18"/>
  <c r="R22" i="18"/>
  <c r="Q22" i="18"/>
  <c r="K22" i="18"/>
  <c r="AG22" i="18" s="1"/>
  <c r="J22" i="18"/>
  <c r="AF22" i="18" s="1"/>
  <c r="AH21" i="18"/>
  <c r="AE21" i="18"/>
  <c r="AD21" i="18"/>
  <c r="AC21" i="18"/>
  <c r="AB21" i="18"/>
  <c r="AA21" i="18"/>
  <c r="X21" i="18"/>
  <c r="U21" i="18"/>
  <c r="T21" i="18"/>
  <c r="S21" i="18"/>
  <c r="R21" i="18"/>
  <c r="Q21" i="18"/>
  <c r="K21" i="18"/>
  <c r="AG21" i="18" s="1"/>
  <c r="J21" i="18"/>
  <c r="AF21" i="18" s="1"/>
  <c r="D21" i="18"/>
  <c r="AH20" i="18"/>
  <c r="AE20" i="18"/>
  <c r="AD20" i="18"/>
  <c r="AC20" i="18"/>
  <c r="AB20" i="18"/>
  <c r="AA20" i="18"/>
  <c r="X20" i="18"/>
  <c r="U20" i="18"/>
  <c r="T20" i="18"/>
  <c r="S20" i="18"/>
  <c r="R20" i="18"/>
  <c r="Q20" i="18"/>
  <c r="K20" i="18"/>
  <c r="AG20" i="18" s="1"/>
  <c r="J20" i="18"/>
  <c r="AF20" i="18" s="1"/>
  <c r="AH19" i="18"/>
  <c r="AE19" i="18"/>
  <c r="AD19" i="18"/>
  <c r="AC19" i="18"/>
  <c r="AB19" i="18"/>
  <c r="AA19" i="18"/>
  <c r="X19" i="18"/>
  <c r="U19" i="18"/>
  <c r="T19" i="18"/>
  <c r="S19" i="18"/>
  <c r="R19" i="18"/>
  <c r="Q19" i="18"/>
  <c r="K19" i="18"/>
  <c r="AG19" i="18" s="1"/>
  <c r="J19" i="18"/>
  <c r="AF19" i="18" s="1"/>
  <c r="AH18" i="18"/>
  <c r="AE18" i="18"/>
  <c r="AD18" i="18"/>
  <c r="AC18" i="18"/>
  <c r="AB18" i="18"/>
  <c r="AA18" i="18"/>
  <c r="X18" i="18"/>
  <c r="U18" i="18"/>
  <c r="T18" i="18"/>
  <c r="S18" i="18"/>
  <c r="R18" i="18"/>
  <c r="Q18" i="18"/>
  <c r="K18" i="18"/>
  <c r="AG18" i="18" s="1"/>
  <c r="J18" i="18"/>
  <c r="AF18" i="18" s="1"/>
  <c r="AH17" i="18"/>
  <c r="AE17" i="18"/>
  <c r="AD17" i="18"/>
  <c r="AC17" i="18"/>
  <c r="AB17" i="18"/>
  <c r="AA17" i="18"/>
  <c r="X17" i="18"/>
  <c r="U17" i="18"/>
  <c r="T17" i="18"/>
  <c r="S17" i="18"/>
  <c r="R17" i="18"/>
  <c r="Q17" i="18"/>
  <c r="K17" i="18"/>
  <c r="AG17" i="18" s="1"/>
  <c r="J17" i="18"/>
  <c r="AF17" i="18" s="1"/>
  <c r="AH16" i="18"/>
  <c r="AE16" i="18"/>
  <c r="AD16" i="18"/>
  <c r="AC16" i="18"/>
  <c r="AB16" i="18"/>
  <c r="AA16" i="18"/>
  <c r="X16" i="18"/>
  <c r="U16" i="18"/>
  <c r="T16" i="18"/>
  <c r="S16" i="18"/>
  <c r="R16" i="18"/>
  <c r="Q16" i="18"/>
  <c r="K16" i="18"/>
  <c r="AG16" i="18" s="1"/>
  <c r="J16" i="18"/>
  <c r="AF16" i="18" s="1"/>
  <c r="AH15" i="18"/>
  <c r="AE15" i="18"/>
  <c r="AD15" i="18"/>
  <c r="AC15" i="18"/>
  <c r="AB15" i="18"/>
  <c r="AA15" i="18"/>
  <c r="X15" i="18"/>
  <c r="U15" i="18"/>
  <c r="T15" i="18"/>
  <c r="S15" i="18"/>
  <c r="R15" i="18"/>
  <c r="Q15" i="18"/>
  <c r="K15" i="18"/>
  <c r="AG15" i="18" s="1"/>
  <c r="J15" i="18"/>
  <c r="AF15" i="18" s="1"/>
  <c r="AH14" i="18"/>
  <c r="AE14" i="18"/>
  <c r="AD14" i="18"/>
  <c r="AC14" i="18"/>
  <c r="AB14" i="18"/>
  <c r="AA14" i="18"/>
  <c r="X14" i="18"/>
  <c r="U14" i="18"/>
  <c r="T14" i="18"/>
  <c r="S14" i="18"/>
  <c r="R14" i="18"/>
  <c r="Q14" i="18"/>
  <c r="K14" i="18"/>
  <c r="AG14" i="18" s="1"/>
  <c r="J14" i="18"/>
  <c r="AF14" i="18" s="1"/>
  <c r="D14" i="18"/>
  <c r="AH13" i="18"/>
  <c r="AE13" i="18"/>
  <c r="AD13" i="18"/>
  <c r="AC13" i="18"/>
  <c r="AB13" i="18"/>
  <c r="AA13" i="18"/>
  <c r="X13" i="18"/>
  <c r="U13" i="18"/>
  <c r="T13" i="18"/>
  <c r="S13" i="18"/>
  <c r="R13" i="18"/>
  <c r="Q13" i="18"/>
  <c r="K13" i="18"/>
  <c r="AG13" i="18" s="1"/>
  <c r="J13" i="18"/>
  <c r="AF13" i="18" s="1"/>
  <c r="AH12" i="18"/>
  <c r="AE12" i="18"/>
  <c r="AD12" i="18"/>
  <c r="AC12" i="18"/>
  <c r="AB12" i="18"/>
  <c r="AA12" i="18"/>
  <c r="X12" i="18"/>
  <c r="U12" i="18"/>
  <c r="T12" i="18"/>
  <c r="S12" i="18"/>
  <c r="R12" i="18"/>
  <c r="Q12" i="18"/>
  <c r="K12" i="18"/>
  <c r="AG12" i="18" s="1"/>
  <c r="J12" i="18"/>
  <c r="AF12" i="18" s="1"/>
  <c r="L11" i="18"/>
  <c r="X11" i="18" s="1"/>
  <c r="K11" i="18"/>
  <c r="AG11" i="18" s="1"/>
  <c r="J11" i="18"/>
  <c r="AF11" i="18" s="1"/>
  <c r="H11" i="18"/>
  <c r="T11" i="18" s="1"/>
  <c r="G11" i="18"/>
  <c r="AC11" i="18" s="1"/>
  <c r="E11" i="18"/>
  <c r="I11" i="18" s="1"/>
  <c r="AH10" i="18"/>
  <c r="AE10" i="18"/>
  <c r="AD10" i="18"/>
  <c r="AC10" i="18"/>
  <c r="AB10" i="18"/>
  <c r="AA10" i="18"/>
  <c r="X10" i="18"/>
  <c r="U10" i="18"/>
  <c r="T10" i="18"/>
  <c r="S10" i="18"/>
  <c r="R10" i="18"/>
  <c r="Q10" i="18"/>
  <c r="K10" i="18"/>
  <c r="AG10" i="18" s="1"/>
  <c r="J10" i="18"/>
  <c r="AF10" i="18" s="1"/>
  <c r="AH9" i="18"/>
  <c r="AE9" i="18"/>
  <c r="AD9" i="18"/>
  <c r="AC9" i="18"/>
  <c r="AB9" i="18"/>
  <c r="AA9" i="18"/>
  <c r="X9" i="18"/>
  <c r="U9" i="18"/>
  <c r="T9" i="18"/>
  <c r="S9" i="18"/>
  <c r="R9" i="18"/>
  <c r="Q9" i="18"/>
  <c r="K9" i="18"/>
  <c r="AG9" i="18" s="1"/>
  <c r="J9" i="18"/>
  <c r="AF9" i="18" s="1"/>
  <c r="AH8" i="18"/>
  <c r="AE8" i="18"/>
  <c r="AD8" i="18"/>
  <c r="AC8" i="18"/>
  <c r="AB8" i="18"/>
  <c r="AA8" i="18"/>
  <c r="X8" i="18"/>
  <c r="U8" i="18"/>
  <c r="T8" i="18"/>
  <c r="S8" i="18"/>
  <c r="R8" i="18"/>
  <c r="Q8" i="18"/>
  <c r="K8" i="18"/>
  <c r="AG8" i="18" s="1"/>
  <c r="J8" i="18"/>
  <c r="AF8" i="18" s="1"/>
  <c r="AH7" i="18"/>
  <c r="AE7" i="18"/>
  <c r="AD7" i="18"/>
  <c r="AC7" i="18"/>
  <c r="AB7" i="18"/>
  <c r="AA7" i="18"/>
  <c r="X7" i="18"/>
  <c r="U7" i="18"/>
  <c r="T7" i="18"/>
  <c r="S7" i="18"/>
  <c r="R7" i="18"/>
  <c r="Q7" i="18"/>
  <c r="K7" i="18"/>
  <c r="AG7" i="18" s="1"/>
  <c r="J7" i="18"/>
  <c r="AF7" i="18" s="1"/>
  <c r="N53" i="18" l="1"/>
  <c r="N56" i="18"/>
  <c r="N33" i="18"/>
  <c r="N7" i="18"/>
  <c r="N38" i="18"/>
  <c r="N63" i="18"/>
  <c r="N40" i="18"/>
  <c r="N55" i="18"/>
  <c r="N58" i="18"/>
  <c r="N16" i="18"/>
  <c r="N9" i="18"/>
  <c r="N18" i="18"/>
  <c r="N20" i="18"/>
  <c r="N31" i="18"/>
  <c r="AH11" i="18"/>
  <c r="X41" i="18"/>
  <c r="F43" i="18"/>
  <c r="AB43" i="18" s="1"/>
  <c r="N43" i="18" s="1"/>
  <c r="V43" i="18"/>
  <c r="V11" i="18"/>
  <c r="AD11" i="18"/>
  <c r="N12" i="18"/>
  <c r="N22" i="18"/>
  <c r="V23" i="18"/>
  <c r="X42" i="18"/>
  <c r="AF42" i="18"/>
  <c r="N42" i="18" s="1"/>
  <c r="X23" i="18"/>
  <c r="W25" i="18"/>
  <c r="W37" i="18"/>
  <c r="V41" i="18"/>
  <c r="X43" i="18"/>
  <c r="W47" i="18"/>
  <c r="AE11" i="18"/>
  <c r="U11" i="18"/>
  <c r="N8" i="18"/>
  <c r="N10" i="18"/>
  <c r="N13" i="18"/>
  <c r="N15" i="18"/>
  <c r="N17" i="18"/>
  <c r="N19" i="18"/>
  <c r="N24" i="18"/>
  <c r="N26" i="18"/>
  <c r="N27" i="18"/>
  <c r="N29" i="18"/>
  <c r="AB37" i="18"/>
  <c r="R37" i="18"/>
  <c r="V7" i="18"/>
  <c r="W8" i="18"/>
  <c r="V9" i="18"/>
  <c r="W7" i="18"/>
  <c r="V8" i="18"/>
  <c r="W9" i="18"/>
  <c r="V10" i="18"/>
  <c r="F11" i="18"/>
  <c r="Q11" i="18"/>
  <c r="S11" i="18"/>
  <c r="W11" i="18"/>
  <c r="AA11" i="18"/>
  <c r="V12" i="18"/>
  <c r="W13" i="18"/>
  <c r="W14" i="18"/>
  <c r="V15" i="18"/>
  <c r="W16" i="18"/>
  <c r="V17" i="18"/>
  <c r="W18" i="18"/>
  <c r="V19" i="18"/>
  <c r="W20" i="18"/>
  <c r="W21" i="18"/>
  <c r="V22" i="18"/>
  <c r="Q23" i="18"/>
  <c r="S23" i="18"/>
  <c r="W23" i="18"/>
  <c r="V24" i="18"/>
  <c r="F25" i="18"/>
  <c r="T25" i="18"/>
  <c r="V25" i="18"/>
  <c r="X25" i="18"/>
  <c r="V26" i="18"/>
  <c r="V27" i="18"/>
  <c r="W28" i="18"/>
  <c r="W29" i="18"/>
  <c r="N36" i="18"/>
  <c r="N44" i="18"/>
  <c r="N50" i="18"/>
  <c r="N28" i="18"/>
  <c r="N34" i="18"/>
  <c r="N35" i="18"/>
  <c r="N45" i="18"/>
  <c r="N46" i="18"/>
  <c r="AB47" i="18"/>
  <c r="R47" i="18"/>
  <c r="AB54" i="18"/>
  <c r="R54" i="18"/>
  <c r="N57" i="18"/>
  <c r="W10" i="18"/>
  <c r="W12" i="18"/>
  <c r="V13" i="18"/>
  <c r="M13" i="18" s="1"/>
  <c r="V14" i="18"/>
  <c r="W15" i="18"/>
  <c r="V16" i="18"/>
  <c r="W17" i="18"/>
  <c r="V18" i="18"/>
  <c r="W19" i="18"/>
  <c r="V20" i="18"/>
  <c r="V21" i="18"/>
  <c r="W22" i="18"/>
  <c r="T23" i="18"/>
  <c r="W24" i="18"/>
  <c r="Q25" i="18"/>
  <c r="S25" i="18"/>
  <c r="W26" i="18"/>
  <c r="W27" i="18"/>
  <c r="N30" i="18"/>
  <c r="N48" i="18"/>
  <c r="N49" i="18"/>
  <c r="W30" i="18"/>
  <c r="V31" i="18"/>
  <c r="V32" i="18"/>
  <c r="W33" i="18"/>
  <c r="W34" i="18"/>
  <c r="W35" i="18"/>
  <c r="V36" i="18"/>
  <c r="Q37" i="18"/>
  <c r="S37" i="18"/>
  <c r="AA37" i="18"/>
  <c r="V38" i="18"/>
  <c r="V39" i="18"/>
  <c r="W40" i="18"/>
  <c r="T41" i="18"/>
  <c r="R42" i="18"/>
  <c r="T42" i="18"/>
  <c r="T43" i="18"/>
  <c r="W44" i="18"/>
  <c r="W45" i="18"/>
  <c r="W46" i="18"/>
  <c r="Q47" i="18"/>
  <c r="S47" i="18"/>
  <c r="AA47" i="18"/>
  <c r="W48" i="18"/>
  <c r="W49" i="18"/>
  <c r="V50" i="18"/>
  <c r="V51" i="18"/>
  <c r="V52" i="18"/>
  <c r="W53" i="18"/>
  <c r="Q54" i="18"/>
  <c r="S54" i="18"/>
  <c r="W54" i="18"/>
  <c r="AA54" i="18"/>
  <c r="V55" i="18"/>
  <c r="W56" i="18"/>
  <c r="W57" i="18"/>
  <c r="V58" i="18"/>
  <c r="V59" i="18"/>
  <c r="V60" i="18"/>
  <c r="V61" i="18"/>
  <c r="V62" i="18"/>
  <c r="W63" i="18"/>
  <c r="V28" i="18"/>
  <c r="V29" i="18"/>
  <c r="V30" i="18"/>
  <c r="M30" i="18" s="1"/>
  <c r="O30" i="18" s="1"/>
  <c r="W31" i="18"/>
  <c r="W32" i="18"/>
  <c r="V33" i="18"/>
  <c r="V34" i="18"/>
  <c r="V35" i="18"/>
  <c r="W36" i="18"/>
  <c r="T37" i="18"/>
  <c r="V37" i="18"/>
  <c r="X37" i="18"/>
  <c r="W38" i="18"/>
  <c r="W39" i="18"/>
  <c r="V40" i="18"/>
  <c r="Q41" i="18"/>
  <c r="S41" i="18"/>
  <c r="W41" i="18"/>
  <c r="Q42" i="18"/>
  <c r="S42" i="18"/>
  <c r="W42" i="18"/>
  <c r="Q43" i="18"/>
  <c r="S43" i="18"/>
  <c r="W43" i="18"/>
  <c r="V44" i="18"/>
  <c r="M44" i="18" s="1"/>
  <c r="O44" i="18" s="1"/>
  <c r="V45" i="18"/>
  <c r="M45" i="18" s="1"/>
  <c r="V46" i="18"/>
  <c r="M46" i="18" s="1"/>
  <c r="O46" i="18" s="1"/>
  <c r="T47" i="18"/>
  <c r="V47" i="18"/>
  <c r="X47" i="18"/>
  <c r="V48" i="18"/>
  <c r="V49" i="18"/>
  <c r="W50" i="18"/>
  <c r="W51" i="18"/>
  <c r="W52" i="18"/>
  <c r="V53" i="18"/>
  <c r="T54" i="18"/>
  <c r="V54" i="18"/>
  <c r="X54" i="18"/>
  <c r="W55" i="18"/>
  <c r="V56" i="18"/>
  <c r="M56" i="18" s="1"/>
  <c r="O56" i="18" s="1"/>
  <c r="V57" i="18"/>
  <c r="M57" i="18" s="1"/>
  <c r="O57" i="18" s="1"/>
  <c r="W58" i="18"/>
  <c r="W59" i="18"/>
  <c r="W60" i="18"/>
  <c r="W61" i="18"/>
  <c r="W62" i="18"/>
  <c r="V63" i="18"/>
  <c r="M63" i="18" s="1"/>
  <c r="O63" i="18" l="1"/>
  <c r="O45" i="18"/>
  <c r="O13" i="18"/>
  <c r="M20" i="18"/>
  <c r="O20" i="18" s="1"/>
  <c r="M18" i="18"/>
  <c r="O18" i="18" s="1"/>
  <c r="R43" i="18"/>
  <c r="M16" i="18"/>
  <c r="O16" i="18" s="1"/>
  <c r="M8" i="18"/>
  <c r="O8" i="18" s="1"/>
  <c r="M31" i="18"/>
  <c r="O31" i="18" s="1"/>
  <c r="M50" i="18"/>
  <c r="O50" i="18" s="1"/>
  <c r="M38" i="18"/>
  <c r="O38" i="18" s="1"/>
  <c r="M36" i="18"/>
  <c r="O36" i="18" s="1"/>
  <c r="M9" i="18"/>
  <c r="O9" i="18" s="1"/>
  <c r="M7" i="18"/>
  <c r="O7" i="18" s="1"/>
  <c r="M55" i="18"/>
  <c r="O55" i="18" s="1"/>
  <c r="M43" i="18"/>
  <c r="O43" i="18" s="1"/>
  <c r="M51" i="18"/>
  <c r="M28" i="18"/>
  <c r="O28" i="18" s="1"/>
  <c r="M27" i="18"/>
  <c r="O27" i="18" s="1"/>
  <c r="M26" i="18"/>
  <c r="O26" i="18" s="1"/>
  <c r="M24" i="18"/>
  <c r="O24" i="18" s="1"/>
  <c r="M10" i="18"/>
  <c r="O10" i="18" s="1"/>
  <c r="M52" i="18"/>
  <c r="M29" i="18"/>
  <c r="O29" i="18" s="1"/>
  <c r="N54" i="18"/>
  <c r="M54" i="18"/>
  <c r="N41" i="18"/>
  <c r="M41" i="18"/>
  <c r="N37" i="18"/>
  <c r="M37" i="18"/>
  <c r="O37" i="18" s="1"/>
  <c r="M62" i="18"/>
  <c r="M61" i="18"/>
  <c r="M60" i="18"/>
  <c r="M59" i="18"/>
  <c r="M39" i="18"/>
  <c r="M32" i="18"/>
  <c r="AB25" i="18"/>
  <c r="R25" i="18"/>
  <c r="N23" i="18"/>
  <c r="M23" i="18"/>
  <c r="O23" i="18" s="1"/>
  <c r="N21" i="18"/>
  <c r="M21" i="18"/>
  <c r="N14" i="18"/>
  <c r="M14" i="18"/>
  <c r="AB11" i="18"/>
  <c r="R11" i="18"/>
  <c r="M53" i="18"/>
  <c r="O53" i="18" s="1"/>
  <c r="M49" i="18"/>
  <c r="O49" i="18" s="1"/>
  <c r="M48" i="18"/>
  <c r="O48" i="18" s="1"/>
  <c r="M40" i="18"/>
  <c r="O40" i="18" s="1"/>
  <c r="M35" i="18"/>
  <c r="O35" i="18" s="1"/>
  <c r="M34" i="18"/>
  <c r="O34" i="18" s="1"/>
  <c r="M33" i="18"/>
  <c r="O33" i="18" s="1"/>
  <c r="M58" i="18"/>
  <c r="O58" i="18" s="1"/>
  <c r="M42" i="18"/>
  <c r="O42" i="18" s="1"/>
  <c r="N61" i="18"/>
  <c r="N59" i="18"/>
  <c r="N51" i="18"/>
  <c r="M22" i="18"/>
  <c r="O22" i="18" s="1"/>
  <c r="M19" i="18"/>
  <c r="O19" i="18" s="1"/>
  <c r="M17" i="18"/>
  <c r="O17" i="18" s="1"/>
  <c r="M15" i="18"/>
  <c r="O15" i="18" s="1"/>
  <c r="M12" i="18"/>
  <c r="O12" i="18" s="1"/>
  <c r="N62" i="18"/>
  <c r="N60" i="18"/>
  <c r="N52" i="18"/>
  <c r="N39" i="18"/>
  <c r="N32" i="18"/>
  <c r="O21" i="18" l="1"/>
  <c r="O54" i="18"/>
  <c r="O14" i="18"/>
  <c r="O41" i="18"/>
  <c r="O39" i="18"/>
  <c r="O60" i="18"/>
  <c r="O62" i="18"/>
  <c r="O52" i="18"/>
  <c r="O51" i="18"/>
  <c r="O32" i="18"/>
  <c r="O59" i="18"/>
  <c r="O61" i="18"/>
  <c r="N11" i="18"/>
  <c r="N25" i="18"/>
  <c r="N47" i="18"/>
  <c r="M11" i="18"/>
  <c r="O11" i="18" s="1"/>
  <c r="M25" i="18"/>
  <c r="M47" i="18"/>
  <c r="O47" i="18" l="1"/>
  <c r="O25" i="18"/>
</calcChain>
</file>

<file path=xl/sharedStrings.xml><?xml version="1.0" encoding="utf-8"?>
<sst xmlns="http://schemas.openxmlformats.org/spreadsheetml/2006/main" count="2930" uniqueCount="399">
  <si>
    <t xml:space="preserve"> </t>
  </si>
  <si>
    <t>Input</t>
  </si>
  <si>
    <t>Throughput</t>
  </si>
  <si>
    <t>College</t>
  </si>
  <si>
    <t>Animal Sciences</t>
  </si>
  <si>
    <t>AG</t>
  </si>
  <si>
    <t>Agricultural Education &amp; Communication</t>
  </si>
  <si>
    <t xml:space="preserve">Plant Molecular and Cellular Biology </t>
  </si>
  <si>
    <t xml:space="preserve">Soil and Water Science </t>
  </si>
  <si>
    <t xml:space="preserve">Microbiology and Cell Science </t>
  </si>
  <si>
    <t>Horticultural Science</t>
  </si>
  <si>
    <t>Plant Pathology</t>
  </si>
  <si>
    <t>Food and Resource Economics</t>
  </si>
  <si>
    <t>Wildlife Ecology and Conservation</t>
  </si>
  <si>
    <t>Food Science and Human Nutrition</t>
  </si>
  <si>
    <t>Agronomy</t>
  </si>
  <si>
    <t>Entomology and Nematology</t>
  </si>
  <si>
    <t>Business Administration</t>
  </si>
  <si>
    <t>BA</t>
  </si>
  <si>
    <t>Economics</t>
  </si>
  <si>
    <t xml:space="preserve">Chemistry </t>
  </si>
  <si>
    <t>CLAS</t>
  </si>
  <si>
    <t>Communication Sciences and Disorders</t>
  </si>
  <si>
    <t xml:space="preserve">Psychology </t>
  </si>
  <si>
    <t xml:space="preserve">Astronomy </t>
  </si>
  <si>
    <t xml:space="preserve">Physics </t>
  </si>
  <si>
    <t>Statistics</t>
  </si>
  <si>
    <t>English</t>
  </si>
  <si>
    <t xml:space="preserve">Mathematics </t>
  </si>
  <si>
    <t xml:space="preserve">Anthropology </t>
  </si>
  <si>
    <t>History</t>
  </si>
  <si>
    <t xml:space="preserve">Political Science </t>
  </si>
  <si>
    <t xml:space="preserve">Linguistics </t>
  </si>
  <si>
    <t xml:space="preserve">Geology </t>
  </si>
  <si>
    <t xml:space="preserve">Philosophy </t>
  </si>
  <si>
    <t>Romance Languages</t>
  </si>
  <si>
    <t xml:space="preserve">Geography </t>
  </si>
  <si>
    <t>German</t>
  </si>
  <si>
    <t>Design, Construction, and Planning</t>
  </si>
  <si>
    <t>DCP</t>
  </si>
  <si>
    <t>ED</t>
  </si>
  <si>
    <t>Curriculum and Instruction (ISC)</t>
  </si>
  <si>
    <t>Chemical Engineering</t>
  </si>
  <si>
    <t>ENG</t>
  </si>
  <si>
    <t>Materials Science and Engineering</t>
  </si>
  <si>
    <t>Nuclear Engineering Sciences</t>
  </si>
  <si>
    <t>Industrial and Systems Engineering</t>
  </si>
  <si>
    <t>Environmental Engineering Sciences</t>
  </si>
  <si>
    <t>Electrical and Computer Engineering</t>
  </si>
  <si>
    <t>Agricultural &amp; Biological Engineering/AG</t>
  </si>
  <si>
    <t>Biomedical Engineering</t>
  </si>
  <si>
    <t>Computer Engineering</t>
  </si>
  <si>
    <t>FA</t>
  </si>
  <si>
    <t xml:space="preserve">Health and Human Performance </t>
  </si>
  <si>
    <t>HHP</t>
  </si>
  <si>
    <t>Mass Communication</t>
  </si>
  <si>
    <t>JOURN</t>
  </si>
  <si>
    <t>Medical Sciences</t>
  </si>
  <si>
    <t>MED</t>
  </si>
  <si>
    <t xml:space="preserve">Nursing Sciences </t>
  </si>
  <si>
    <t>NURS</t>
  </si>
  <si>
    <t>Pharmaceutical Sciences</t>
  </si>
  <si>
    <t>PHARM</t>
  </si>
  <si>
    <t>PHHP</t>
  </si>
  <si>
    <t xml:space="preserve">Rehabilitation Science </t>
  </si>
  <si>
    <t xml:space="preserve">Health Services Research </t>
  </si>
  <si>
    <t>Veterinary Medical Sciences</t>
  </si>
  <si>
    <t>VET</t>
  </si>
  <si>
    <t>New Degree Programs</t>
  </si>
  <si>
    <t>Animal Molecular and Cellular Biology</t>
  </si>
  <si>
    <t>Religious Studies</t>
  </si>
  <si>
    <t>Classical Studies</t>
  </si>
  <si>
    <t>Art History</t>
  </si>
  <si>
    <t xml:space="preserve">A. Input </t>
  </si>
  <si>
    <t xml:space="preserve">C. Outcomes </t>
  </si>
  <si>
    <t>Additive Data</t>
  </si>
  <si>
    <t>Average number
admitted over 5-yr. period</t>
  </si>
  <si>
    <t xml:space="preserve">PhD Degree Programs </t>
  </si>
  <si>
    <t>No. in
 Q4</t>
  </si>
  <si>
    <t>No. in
 Q1</t>
  </si>
  <si>
    <t>Average
 GPA of enrollees over a 5-yr. period</t>
  </si>
  <si>
    <t>Average percent of minority students applied over a 5-yr. period</t>
  </si>
  <si>
    <t>Average 
percent of minority student admits over a 5-yr. period</t>
  </si>
  <si>
    <t>Average 
percent of minority student enrollees over a 5-yr. period</t>
  </si>
  <si>
    <t>Mess of 2 departments, 3 majors</t>
  </si>
  <si>
    <t>Epidemiology</t>
  </si>
  <si>
    <t>Nutritional Sciences</t>
  </si>
  <si>
    <t>Biostatistics</t>
  </si>
  <si>
    <t>MED/PHHP</t>
  </si>
  <si>
    <t>MajorID</t>
  </si>
  <si>
    <t xml:space="preserve">2009-2010 PHD PROGRAM ASSESSMENT SPREAD SHEET </t>
  </si>
  <si>
    <t>Faculty</t>
  </si>
  <si>
    <t>Non-Academic</t>
  </si>
  <si>
    <t>Post Doctorate</t>
  </si>
  <si>
    <t>Genetics and Genomics</t>
  </si>
  <si>
    <t>Interdisciplinary Programs</t>
  </si>
  <si>
    <t>Majors live in same department</t>
  </si>
  <si>
    <t>Taken from different depts in PeopleSoft data - AG-ENVIRONMENTAL HORTICULTURE, and AG-HORTICULTURAL SCIENCE</t>
  </si>
  <si>
    <t>Diff. (Q4-Q1)</t>
  </si>
  <si>
    <t>No. of Indicators in Q4 &amp; Q1 Ranges</t>
  </si>
  <si>
    <t>Rank_Q4</t>
  </si>
  <si>
    <t>Rank_Q1</t>
  </si>
  <si>
    <t>Fisheries and Aquatic Sciences/Forest Resources and Conservation</t>
  </si>
  <si>
    <t>66/70</t>
  </si>
  <si>
    <t xml:space="preserve">Botany/Zoology </t>
  </si>
  <si>
    <t>346/140</t>
  </si>
  <si>
    <t>Counseling Psychology/Psychology</t>
  </si>
  <si>
    <t>47/115</t>
  </si>
  <si>
    <t>Sociology/Criminology, Law, and Society</t>
  </si>
  <si>
    <t>128/443</t>
  </si>
  <si>
    <t>Aerospace Engineering/Mechanical Engineering</t>
  </si>
  <si>
    <t>331/96</t>
  </si>
  <si>
    <t>Civil Engineering/Coastal and Oceanographic Engineering</t>
  </si>
  <si>
    <t>351/42</t>
  </si>
  <si>
    <t>Music/Music Education</t>
  </si>
  <si>
    <t>101/102</t>
  </si>
  <si>
    <t>New Degree Programs &amp; Interdisciplinary Programs</t>
  </si>
  <si>
    <t>Applications &amp; Enrollment</t>
  </si>
  <si>
    <t>Entering Academic Credentials</t>
  </si>
  <si>
    <t>Minority, Gender, and International Student Data</t>
  </si>
  <si>
    <t>Educational Leadership/Educational Psychology/Higher Education Administration/Marriage and Family Counseling/Metal Health Counseling/Research and Evaluation Methodology/School Counseling and Guidance</t>
  </si>
  <si>
    <t>54/55/80/91/98/122/124</t>
  </si>
  <si>
    <t>School Psychology/Special Education</t>
  </si>
  <si>
    <t>125/131</t>
  </si>
  <si>
    <t>Budgeted Grad Faculty 
Med: 23.7
Mn: 27.8
MAD: 9.9                               SD: 15.3
Range: 8.0 - 77.0  
Q4: 36.0 - 77.0    Q3: 23.7 - 35.9
Q2: 15.0 - 23.6
Q1: 8.0 - 14.9</t>
  </si>
  <si>
    <r>
      <t xml:space="preserve">Percent of minority students fall 2009   Med: 8.0%
Mn: 9.1%
MAD: 3.6%                                SD: 7.0%
Range: 0.0% - 34.3% 
Q4: </t>
    </r>
    <r>
      <rPr>
        <sz val="10"/>
        <color indexed="10"/>
        <rFont val="Arial"/>
        <family val="2"/>
      </rPr>
      <t>11.4% - 34.3%</t>
    </r>
    <r>
      <rPr>
        <sz val="10"/>
        <rFont val="Arial"/>
        <family val="2"/>
      </rPr>
      <t xml:space="preserve">
Q3: 8.0% - 11.3%
Q2: 4.4% - 7.9%
Q1: </t>
    </r>
    <r>
      <rPr>
        <sz val="10"/>
        <color indexed="17"/>
        <rFont val="Arial"/>
        <family val="2"/>
      </rPr>
      <t>0.0% - 4.3%</t>
    </r>
  </si>
  <si>
    <r>
      <t xml:space="preserve">Proportion of admitted to applied 2004-2009        Med: 35.6%
Mn: 33.8%
MAD:  11.1%                               SD: 14.9%
Range: 4.3% - 62.8% 
Q4: </t>
    </r>
    <r>
      <rPr>
        <u/>
        <sz val="10"/>
        <color indexed="10"/>
        <rFont val="Arial"/>
        <family val="2"/>
      </rPr>
      <t>4.2%</t>
    </r>
    <r>
      <rPr>
        <sz val="10"/>
        <color indexed="10"/>
        <rFont val="Arial"/>
        <family val="2"/>
      </rPr>
      <t xml:space="preserve"> - 22.5%</t>
    </r>
    <r>
      <rPr>
        <sz val="10"/>
        <rFont val="Arial"/>
        <family val="2"/>
      </rPr>
      <t xml:space="preserve">
Q3: 22.6% - 35.5%
Q2: 35.6% - 44.9%
Q1: </t>
    </r>
    <r>
      <rPr>
        <sz val="10"/>
        <color indexed="17"/>
        <rFont val="Arial"/>
        <family val="2"/>
      </rPr>
      <t>45.0% - 62.8%</t>
    </r>
  </si>
  <si>
    <r>
      <t>Proportion of matriculated to admitted 2004-2009               Med: 60.9%
Mn: 62.1%
MAD:  18.4%                               SD: 20.1%
Range: 22.8% - 95.2% 
Q4:</t>
    </r>
    <r>
      <rPr>
        <sz val="10"/>
        <color indexed="10"/>
        <rFont val="Arial"/>
        <family val="2"/>
      </rPr>
      <t xml:space="preserve"> 81.6% - 95.2%</t>
    </r>
    <r>
      <rPr>
        <sz val="10"/>
        <rFont val="Arial"/>
        <family val="2"/>
      </rPr>
      <t xml:space="preserve">
Q3: 60.9% - 81.5%
Q2: 49.2% - 60.8%
Q1:</t>
    </r>
    <r>
      <rPr>
        <sz val="10"/>
        <color indexed="17"/>
        <rFont val="Arial"/>
        <family val="2"/>
      </rPr>
      <t xml:space="preserve"> </t>
    </r>
    <r>
      <rPr>
        <u/>
        <sz val="10"/>
        <color indexed="17"/>
        <rFont val="Arial"/>
        <family val="2"/>
      </rPr>
      <t>22.7%</t>
    </r>
    <r>
      <rPr>
        <sz val="10"/>
        <color indexed="17"/>
        <rFont val="Arial"/>
        <family val="2"/>
      </rPr>
      <t xml:space="preserve"> - 49.1%</t>
    </r>
  </si>
  <si>
    <r>
      <t xml:space="preserve">Median time-to-degree 2004-2009           Med: 4.0 
Mn: 4.1
MAD: 0.3                                SD: 0.5
Range: 3.0 - 5.7 
Q4: </t>
    </r>
    <r>
      <rPr>
        <sz val="10"/>
        <color indexed="10"/>
        <rFont val="Arial"/>
        <family val="2"/>
      </rPr>
      <t>3.0 - 3.9</t>
    </r>
    <r>
      <rPr>
        <sz val="10"/>
        <rFont val="Arial"/>
        <family val="2"/>
      </rPr>
      <t xml:space="preserve">
Q3: 4.0 - 4.0
Q2: 4.0 - 4.2
Q1: </t>
    </r>
    <r>
      <rPr>
        <sz val="10"/>
        <color indexed="17"/>
        <rFont val="Arial"/>
        <family val="2"/>
      </rPr>
      <t xml:space="preserve">4.3 - 5.7 </t>
    </r>
  </si>
  <si>
    <r>
      <t xml:space="preserve">Attrition Rate Cohort for 2000-2003 Matriculants         Med: 29.4% 
Mn: 29.1%
MAD: 6.3%                                SD: 12.6% 
Range: 0.0% - 56.3% 
Q4: </t>
    </r>
    <r>
      <rPr>
        <sz val="10"/>
        <color indexed="10"/>
        <rFont val="Arial"/>
        <family val="2"/>
      </rPr>
      <t>0.0% - 23.0%</t>
    </r>
    <r>
      <rPr>
        <sz val="10"/>
        <rFont val="Arial"/>
        <family val="2"/>
      </rPr>
      <t xml:space="preserve">
Q3: 23.1% - 29.3%
Q2: 29.4% - 35.6%
Q1: </t>
    </r>
    <r>
      <rPr>
        <sz val="10"/>
        <color indexed="17"/>
        <rFont val="Arial"/>
        <family val="2"/>
      </rPr>
      <t>35.7%- 56.3%</t>
    </r>
  </si>
  <si>
    <r>
      <t xml:space="preserve">Completion Rate for 2000-2003 Matriculants          Med: 64.7% 
Mn: 62.4%
MAD: 9.3%                             SD: 17.2%
Range: 18.8% - 100.0% 
Q4: </t>
    </r>
    <r>
      <rPr>
        <sz val="10"/>
        <color indexed="10"/>
        <rFont val="Arial"/>
        <family val="2"/>
      </rPr>
      <t>72.3% - 100.0%</t>
    </r>
    <r>
      <rPr>
        <sz val="10"/>
        <rFont val="Arial"/>
        <family val="2"/>
      </rPr>
      <t xml:space="preserve">
Q3: 64.7% - 72.2%
Q2: 52.8% - 64.6%
Q1:</t>
    </r>
    <r>
      <rPr>
        <sz val="10"/>
        <color indexed="17"/>
        <rFont val="Arial"/>
        <family val="2"/>
      </rPr>
      <t xml:space="preserve"> </t>
    </r>
    <r>
      <rPr>
        <u/>
        <sz val="10"/>
        <color indexed="17"/>
        <rFont val="Arial"/>
        <family val="2"/>
      </rPr>
      <t>18.7%</t>
    </r>
    <r>
      <rPr>
        <sz val="10"/>
        <color indexed="17"/>
        <rFont val="Arial"/>
        <family val="2"/>
      </rPr>
      <t xml:space="preserve"> - 52.7%</t>
    </r>
  </si>
  <si>
    <r>
      <t>Average yearly number of degrees awarded 2004-2009             Med: 7.0
Mn: 10.0
MAD: 3.2                               SD: 8.4
Range: 0.6 - 44.0 
Q4:</t>
    </r>
    <r>
      <rPr>
        <sz val="10"/>
        <color indexed="10"/>
        <rFont val="Arial"/>
        <family val="2"/>
      </rPr>
      <t xml:space="preserve"> 12.4- 44.0</t>
    </r>
    <r>
      <rPr>
        <sz val="10"/>
        <rFont val="Arial"/>
        <family val="2"/>
      </rPr>
      <t xml:space="preserve">
Q3: 7.2 - 12.3
Q2: 5.0 - 7.1
Q1: </t>
    </r>
    <r>
      <rPr>
        <sz val="10"/>
        <color indexed="17"/>
        <rFont val="Arial"/>
        <family val="2"/>
      </rPr>
      <t>0.6 - 4.9</t>
    </r>
  </si>
  <si>
    <r>
      <t xml:space="preserve">Total number of students enrolled fall 2009                  Med: 55
Mn: 69
MAD: 26                               SD: 57
Range: 5 - 307  
</t>
    </r>
    <r>
      <rPr>
        <sz val="10"/>
        <color indexed="8"/>
        <rFont val="Arial"/>
        <family val="2"/>
      </rPr>
      <t>Q4:</t>
    </r>
    <r>
      <rPr>
        <sz val="10"/>
        <color indexed="10"/>
        <rFont val="Arial"/>
        <family val="2"/>
      </rPr>
      <t xml:space="preserve"> 80 - 307 </t>
    </r>
    <r>
      <rPr>
        <sz val="10"/>
        <rFont val="Arial"/>
        <family val="2"/>
      </rPr>
      <t xml:space="preserve">
Q3: 55 - 79
Q2: 29 - 54
Q1: </t>
    </r>
    <r>
      <rPr>
        <sz val="10"/>
        <color indexed="17"/>
        <rFont val="Arial"/>
        <family val="2"/>
      </rPr>
      <t>5 - 28</t>
    </r>
  </si>
  <si>
    <t>Outcomes</t>
  </si>
  <si>
    <t>Count of No. of Indicators in Q1 Range</t>
  </si>
  <si>
    <t>Count of No. of Indicators in Q4 Range</t>
  </si>
  <si>
    <t>Quantitative Indicators-8</t>
  </si>
  <si>
    <t>Rank_No. of 8 Indicators in Q4 &amp; Q1 Ranges for 57 PhD Degree Programs at University of Florida</t>
  </si>
  <si>
    <t>B. Process Output</t>
  </si>
  <si>
    <t>Process Output</t>
  </si>
  <si>
    <t>Average percent of international students over a 5-yr. period</t>
  </si>
  <si>
    <t>Average percent of female students over a 5-yr. period</t>
  </si>
  <si>
    <t>Programs</t>
  </si>
  <si>
    <t>Quantitative Indicators</t>
  </si>
  <si>
    <t>As the programs below are listed as new, the criterion indicator data are incomplete</t>
  </si>
  <si>
    <t>Interdisciplinary Ecology</t>
  </si>
  <si>
    <t>Average number
applied 
over 5-yr. period</t>
  </si>
  <si>
    <t>Average number
enrolled
 over 5-yr. period</t>
  </si>
  <si>
    <t>Average
 GPA of applicants
over a 5-yr. period</t>
  </si>
  <si>
    <t>Average
 GPA of admits 
over a 5-yr. period</t>
  </si>
  <si>
    <t>Student/Faculty Ratio</t>
  </si>
  <si>
    <t>Within Program Differences in Top and Bottom Quartiles on the 9 Indicators</t>
  </si>
  <si>
    <t>Romance Languages - Spanish</t>
  </si>
  <si>
    <t>Agricultural Education and Communication</t>
  </si>
  <si>
    <t>Agricultural and Biological Engineering</t>
  </si>
  <si>
    <t xml:space="preserve"> Outcomes</t>
  </si>
  <si>
    <t>Diff. 
(Q4-Q1)</t>
  </si>
  <si>
    <t>75/123-RLF</t>
  </si>
  <si>
    <t>123 - RLS</t>
  </si>
  <si>
    <t>Average Quantative  
GRE scores of admits over a 5-yr. period</t>
  </si>
  <si>
    <t>Total No. 
of PhD 
Grads Listed as Placed</t>
  </si>
  <si>
    <t>Funded students</t>
  </si>
  <si>
    <t>82/375</t>
  </si>
  <si>
    <t>114/142</t>
  </si>
  <si>
    <t>Aerospace / Mechanical Engineering</t>
  </si>
  <si>
    <t>43/520</t>
  </si>
  <si>
    <t>121/352</t>
  </si>
  <si>
    <t>LS/PHHP</t>
  </si>
  <si>
    <t>Public Health</t>
  </si>
  <si>
    <t>Chemistry</t>
  </si>
  <si>
    <t>54/55/
80/91/98/ 122/124</t>
  </si>
  <si>
    <t xml:space="preserve">Faculty </t>
  </si>
  <si>
    <t>AG/ENG</t>
  </si>
  <si>
    <t>Fisheries and Aquatic Sciences</t>
  </si>
  <si>
    <t>Forest Resources and Conservation</t>
  </si>
  <si>
    <t>Botany</t>
  </si>
  <si>
    <t xml:space="preserve">Zoology </t>
  </si>
  <si>
    <t>Counseling Psychology</t>
  </si>
  <si>
    <t>Psychology</t>
  </si>
  <si>
    <t>Romance Languages - French</t>
  </si>
  <si>
    <t>Sociology</t>
  </si>
  <si>
    <t>Criminology, Law, and Society</t>
  </si>
  <si>
    <t>Educational Leadership</t>
  </si>
  <si>
    <t>Educational Psychology</t>
  </si>
  <si>
    <t>Higher Education Administration</t>
  </si>
  <si>
    <t>Marriage and Family Counseling</t>
  </si>
  <si>
    <t>Mental Health Counseling</t>
  </si>
  <si>
    <t>Research and Evaluation Methodology</t>
  </si>
  <si>
    <t>School Counseling and Guidance</t>
  </si>
  <si>
    <t>School Psychology</t>
  </si>
  <si>
    <t>Special Education</t>
  </si>
  <si>
    <t>Aerospace Engineering</t>
  </si>
  <si>
    <t>Mechanical Engineering</t>
  </si>
  <si>
    <t>Civil Engineering</t>
  </si>
  <si>
    <t>Coastal and Oceanographic Engineering</t>
  </si>
  <si>
    <t>Music</t>
  </si>
  <si>
    <t>Music Education</t>
  </si>
  <si>
    <t>No. of the 9 indicators in  Top Quartile</t>
  </si>
  <si>
    <t>No. of the 9 indicators in Bottom Quartile</t>
  </si>
  <si>
    <t xml:space="preserve">Number Of Indicators in Q4 </t>
  </si>
  <si>
    <t xml:space="preserve">Number Of Indicators in Q1 </t>
  </si>
  <si>
    <t>Number of the 9 Indicators in the Q4 and Q1 Quartiles</t>
  </si>
  <si>
    <t>1.      Current number of enrolled students</t>
  </si>
  <si>
    <t>2.      Current percent of minority students</t>
  </si>
  <si>
    <r>
      <t xml:space="preserve">      </t>
    </r>
    <r>
      <rPr>
        <sz val="12"/>
        <color theme="1"/>
        <rFont val="Calibri"/>
        <family val="2"/>
        <scheme val="minor"/>
      </rPr>
      <t xml:space="preserve">     1. Average number applied over 5-yr. period</t>
    </r>
  </si>
  <si>
    <r>
      <t xml:space="preserve">         </t>
    </r>
    <r>
      <rPr>
        <sz val="12"/>
        <color theme="1"/>
        <rFont val="Calibri"/>
        <family val="2"/>
        <scheme val="minor"/>
      </rPr>
      <t xml:space="preserve">  2. Average number admitted over 5-yr. period</t>
    </r>
  </si>
  <si>
    <t xml:space="preserve">           4. Average GPA of applicants over a 5-yr. period</t>
  </si>
  <si>
    <t xml:space="preserve">           5. Average GPA of admits over a 5-yr. period</t>
  </si>
  <si>
    <t xml:space="preserve">           6. Average GPA of enrollees over a 5-yr. period</t>
  </si>
  <si>
    <t xml:space="preserve">           8. Average Quantative  GRE scores of admits over a 5-yr. period</t>
  </si>
  <si>
    <t xml:space="preserve">           7. Average Quantative GRE scores of applicants over a 5-yr. period</t>
  </si>
  <si>
    <t xml:space="preserve">           10. Average Verbal GRE scores of applicants over a 5-yr. period</t>
  </si>
  <si>
    <t xml:space="preserve">           11. Average Verbal GRE scores of admits over a 5-yr. period</t>
  </si>
  <si>
    <t xml:space="preserve">           12. Average Verbal GRE scores of enrollees over a 5-yr. period</t>
  </si>
  <si>
    <t xml:space="preserve">           9. Average Quantative GRE scores of enrollees over a 5-yr. period</t>
  </si>
  <si>
    <t>Average Quantative
GRE scores of applicants over a 5-yr. period</t>
  </si>
  <si>
    <t>Average Quantative
GRE scores of enrollees over a 5-yr. period</t>
  </si>
  <si>
    <t>Average Verbal
GRE scores of applicants over a 5-yr. period</t>
  </si>
  <si>
    <t>Average Verbal
GRE scores of admits over a 5-yr. period</t>
  </si>
  <si>
    <t>Average Verbal
GRE scores of enrollees over a 5-yr. period</t>
  </si>
  <si>
    <t>o  Data Source: GIMS and Registrar</t>
  </si>
  <si>
    <t>o  Data Source:  Office of Admissions</t>
  </si>
  <si>
    <t>o  Data Source:  Office of Admissions, Registrar, GIMS</t>
  </si>
  <si>
    <t>o  Calculation:  Number of admitted divided by number of applicants</t>
  </si>
  <si>
    <t>o  Data Source: GIMS</t>
  </si>
  <si>
    <t>o  Data Source: GIMS and PeopleSoft</t>
  </si>
  <si>
    <t>o  Data Source:  Registrar</t>
  </si>
  <si>
    <t>o  Calculation:  Sum of Faculty, Non-Academic, and Post-doctorate placements</t>
  </si>
  <si>
    <t>o  Data Source:PeopleSoft</t>
  </si>
  <si>
    <t>o  Data Source:PeopleSoft, GIMS</t>
  </si>
  <si>
    <t>o  Calculation: Number of graduated students in the cohort divided by total number of students in the cohort</t>
  </si>
  <si>
    <t xml:space="preserve">           14. Average percent of minority students applied over a 5-yr. period</t>
  </si>
  <si>
    <t xml:space="preserve">           18. Average percent of international students over a 5-yr. period</t>
  </si>
  <si>
    <t xml:space="preserve">           16. Average percent of minority student enrollees over a 5-yr. period</t>
  </si>
  <si>
    <t xml:space="preserve">           15. Average percent of minority student admits over a 5-yr. period</t>
  </si>
  <si>
    <t xml:space="preserve">           17. Average percent of female students over a 5-yr. period</t>
  </si>
  <si>
    <t>Funded Students</t>
  </si>
  <si>
    <t>o  Data Source: GIMS, Registrar, and PeopleSoft</t>
  </si>
  <si>
    <t>o  Data Source:  GIMS, Registrar, and Academic Personnel (Human Resources)</t>
  </si>
  <si>
    <t>Diff.    (Q4-Q1)</t>
  </si>
  <si>
    <t>Average number 
enrolled 
over 5-yr. period</t>
  </si>
  <si>
    <t xml:space="preserve">2013-2014 PHD PROGRAM ASSESSMENT SPREAD SHEET </t>
  </si>
  <si>
    <t>o   Total number of PhD students enrolled in October 2013</t>
  </si>
  <si>
    <t>o   Summer 2008 through spring 2013</t>
  </si>
  <si>
    <t>o   Enrollment status for this cohort was determined spring 2013</t>
  </si>
  <si>
    <t>o  Calculation: Number of attrited students in the cohort (non-enrolled as of Spring 2013) divided by total number of students in the cohort</t>
  </si>
  <si>
    <t>o   PhD degree awarded by spring 2013</t>
  </si>
  <si>
    <t>8.       PhD degrees awarded 2012-2013</t>
  </si>
  <si>
    <r>
      <t>9.      The number of 2012-13 PhD graduates (</t>
    </r>
    <r>
      <rPr>
        <b/>
        <sz val="12"/>
        <color theme="1"/>
        <rFont val="Calibri"/>
        <family val="2"/>
        <scheme val="minor"/>
      </rPr>
      <t>from any academic program</t>
    </r>
    <r>
      <rPr>
        <sz val="12"/>
        <color theme="1"/>
        <rFont val="Calibri"/>
        <family val="2"/>
        <scheme val="minor"/>
      </rPr>
      <t>) chaired per budgeted graduate faculty</t>
    </r>
  </si>
  <si>
    <t xml:space="preserve">o  Calculation: Number of applicants (Summer 2008 through Spring 2013) divided by 5 </t>
  </si>
  <si>
    <t xml:space="preserve">o  Calculation: Number of admits (Summer 2008 through Spring 2013) divided by 5 </t>
  </si>
  <si>
    <t xml:space="preserve">o  Calculation: Number of new enrollees (Summer 2008 through Spring 2013) divided by 5 </t>
  </si>
  <si>
    <t>o  Calculation: Total self-reported GPA of all applicants (Summer 2008 through Spring 2013) divided by the number of applicants who reported their GPA</t>
  </si>
  <si>
    <t>o  Calculation: Total self-reported GPA of all new enrollees (Summer 2008 through Spring 2013) divided by the number of enrollees who reported their GPA</t>
  </si>
  <si>
    <t>o  Calculation: Total Quantative GRE of all applicants (Summer 2008 through Spring 2013) divided by the number of applicants whose GRE scores are posted</t>
  </si>
  <si>
    <t>o  Calculation: Total Quantative GRE of all admits (Summer 2008 through Spring 2013) divided by the number of admits whose GRE scores are posted</t>
  </si>
  <si>
    <t>o  Calculation: Total Quantative GRE of all new enrollees (Summer 2008 through Spring 2013) divided by the number of new enrollees whose GRE scores are posted</t>
  </si>
  <si>
    <t>o  Calculation: Total Verbal GRE of all applicants (Summer 2008 through Spring 2013) divided by the number of applicants whose GRE scores are posted</t>
  </si>
  <si>
    <t>o  Calculation: Total Verbal GRE of all admits (Summer 2008 through Spring 2013) divided by the number of admits whose GRE scores are posted</t>
  </si>
  <si>
    <t>o  Calculation: Total Verbal GRE of all new enrollees (Summer 2008 through Spring 2013) divided by the number of new enrollees whose GRE scores are posted</t>
  </si>
  <si>
    <t xml:space="preserve">           13. Number of Fall 2013 enrolled PhD Students per Budgeted Grad Faculty </t>
  </si>
  <si>
    <t>o  Calculation: Total number of PhD students enrolled in October 2013 divided by budgeted graduate faculty</t>
  </si>
  <si>
    <t>o  Data Source: GIMS and Registrar. Number of enrolled PhD students in October 2013 who identified themselves as Black American, Hispanic/Latino or American Indian/Native Alaskan</t>
  </si>
  <si>
    <t>Job Placement (Summer 2008-Spring 2013)</t>
  </si>
  <si>
    <t>o  Data Source:  Job Placement System</t>
  </si>
  <si>
    <t>o  Data Source: GIMS.  Degrees conferred summer 2008 through spring 2013</t>
  </si>
  <si>
    <t>2013-2014 PHD PROGRAM ASSESSMENT SPREAD SHEET (Data Collected: October 15-October 31 2013)</t>
  </si>
  <si>
    <t>Minority student enrollment fall 2013</t>
  </si>
  <si>
    <t>Number of Fall 2013 students funded on assistantship and/or fellowship</t>
  </si>
  <si>
    <t>Percent of Fall 2013 students funded on assistantship and/or fellowship</t>
  </si>
  <si>
    <t>TOTAL PhD's Awarded (Summer 2008-Spring 2013)</t>
  </si>
  <si>
    <t>Job Placement data (Summer 2008-
Spring 2013)</t>
  </si>
  <si>
    <t>Minority enrollment fall 2013</t>
  </si>
  <si>
    <t>n/a</t>
  </si>
  <si>
    <t>Completion Rate for minority matriculants</t>
  </si>
  <si>
    <t>Attrition Rate for minority matriculants</t>
  </si>
  <si>
    <t xml:space="preserve">           22. No. of  Fall 2013 students funded on assistantship and/or fellowship</t>
  </si>
  <si>
    <t xml:space="preserve">           23. Percent of Fall 2013 students funded on assistantship and/or fellowship</t>
  </si>
  <si>
    <t xml:space="preserve">           25. Non-Academic</t>
  </si>
  <si>
    <t xml:space="preserve">           26. Post Doctorate</t>
  </si>
  <si>
    <t xml:space="preserve">           27. Total No. of PhD Grads Listed as Placed</t>
  </si>
  <si>
    <t xml:space="preserve">           28. TOTAL PhD's Awarded (Summer 2008-Spring 2013)</t>
  </si>
  <si>
    <t xml:space="preserve">           29. No. of Tenured Track graduate faculty</t>
  </si>
  <si>
    <t xml:space="preserve">           30. Percent of Tenure track that are  budgeted graduate faculty</t>
  </si>
  <si>
    <t xml:space="preserve">           24. Faculty</t>
  </si>
  <si>
    <t xml:space="preserve">           31. Total # of Budgeted faculty</t>
  </si>
  <si>
    <t xml:space="preserve">           32. Of total faculty, Percent that are budgeted graduate faculty</t>
  </si>
  <si>
    <t xml:space="preserve">Attrition Rate for minority matriculants </t>
  </si>
  <si>
    <t>Completion Rate for  minority matriculants</t>
  </si>
  <si>
    <t>o  Data Source: GIMS and Registrar: Number of attrited students in the cohort who identified themselves as Black American, Hispanic/Latino or American Indian/Native Alaskan</t>
  </si>
  <si>
    <t xml:space="preserve">o  Calculation:  Number of admits who identified themselves as Black American, Hispanic/Latino or American Indian divided by total number of admits (Summer 2008 through Spring 2013) </t>
  </si>
  <si>
    <t xml:space="preserve">o  Calculation:  Number of new enrollees who identified themselves as Black American, Hispanic/Latino or American Indian divided by total number of new enrollees  (Summer 2008 through Spring 2013) </t>
  </si>
  <si>
    <t>o  Calculation:  Total number of females enrolled in Fall semesters divided by total number of enrolled in Fall semesters (2009 to 2013)</t>
  </si>
  <si>
    <t>o  Calculation:  Total number of internationals enrolled in Fall semesters divided by total number of enrolled in Fall semesters (2009 to 2013)</t>
  </si>
  <si>
    <t>3.      The percent of PhD applicants who were offered admission</t>
  </si>
  <si>
    <t>4.      The percent of admitted PhD applicants who matriculated</t>
  </si>
  <si>
    <t>Number of Tenured Track graduate faculty</t>
  </si>
  <si>
    <t>Percent of Tenure Track faculty who are  budgeted graduate faculty</t>
  </si>
  <si>
    <t>Total Number of  Budgeted Faculty</t>
  </si>
  <si>
    <t>o  Percent of enrolled PhD students in October 2013 who identified themselves as Black American, Hispanic/Latino or American Indian</t>
  </si>
  <si>
    <t>o  Summer 2008 through spring 2013</t>
  </si>
  <si>
    <t>o  All PhD degree recipients from summer 2008 through spring 2013</t>
  </si>
  <si>
    <t>o  Enrollment status for this cohort was determined spring 2013</t>
  </si>
  <si>
    <t>o  PhD degree awarded by spring 2013</t>
  </si>
  <si>
    <t>o  Degrees conferred summer 2012 through spring 2013</t>
  </si>
  <si>
    <t xml:space="preserve">Number of Fall 2013 enrolled PhD Students per Budgeted Grad Faculty </t>
  </si>
  <si>
    <t>Within Program Differences in Top and Bottom Quartiles on the 8 Indicators</t>
  </si>
  <si>
    <t>No. of the 8 indicators in  Top Quartile</t>
  </si>
  <si>
    <t>No. of the 8 indicators in Bottom Quartile</t>
  </si>
  <si>
    <t>Difference (Q4-Q1)</t>
  </si>
  <si>
    <t xml:space="preserve">PhD Degree Program </t>
  </si>
  <si>
    <t xml:space="preserve">PhD Major Program </t>
  </si>
  <si>
    <t>PhD Major</t>
  </si>
  <si>
    <t>351/42/63</t>
  </si>
  <si>
    <t>68/576</t>
  </si>
  <si>
    <t>93/103</t>
  </si>
  <si>
    <t>Educational Leadership / Educational Psychology / Higher Education Administration / Marriage and Family Counseling / Mental Health Counseling / Research and Evaluation Methodology / School Counseling and Guidance</t>
  </si>
  <si>
    <t>Civil Engineering / Coastal and Oceanographic Engineering / Environmental Engineering Sciences</t>
  </si>
  <si>
    <t>Materials Science and Engineering / Nuclear Engineering Sciences</t>
  </si>
  <si>
    <t>Fisheries and Aquatic Sciences / Forest Resources and Conservation</t>
  </si>
  <si>
    <t>Counseling Psychology / Psychology</t>
  </si>
  <si>
    <t>Sociology / Criminology, Law, and Society</t>
  </si>
  <si>
    <t>German / Romance Languages - French</t>
  </si>
  <si>
    <t xml:space="preserve">Botany / Zoology </t>
  </si>
  <si>
    <t>School Psychology / Special Education</t>
  </si>
  <si>
    <t>Aerospace Engineering / Mechanical Engineering</t>
  </si>
  <si>
    <t>Music / Music Education</t>
  </si>
  <si>
    <t>Educational Leadership/Educational Psychology / Higher Education Administration / Marriage and Family Counseling / Mental Health Counseling / Research and Evaluation Methodology / School Counseling and Guidance</t>
  </si>
  <si>
    <t>Percent of all current faculty who are budgeted graduate faculty</t>
  </si>
  <si>
    <t>o  Calculation:  Number of enrolled PhD students in October 2013 who identified themselves as Black American, Hispanic/Latino or American Indian divided by total number of PhD students enrolled in October 2013</t>
  </si>
  <si>
    <t>o  Calculation:  Number of new matriculants divided by number of admitted PhD applicants</t>
  </si>
  <si>
    <t>5.      Median time-to-degree (in years): Based on from the time student actually entered the PhD program</t>
  </si>
  <si>
    <t>o  Calculation: Number of 2012-13 PhD graduates (from any academic program) divided by budgeted graduate faculty</t>
  </si>
  <si>
    <r>
      <t xml:space="preserve">          </t>
    </r>
    <r>
      <rPr>
        <sz val="12"/>
        <color theme="1"/>
        <rFont val="Calibri"/>
        <family val="2"/>
        <scheme val="minor"/>
      </rPr>
      <t xml:space="preserve"> 3. Average number of newly enrolled over 5-yr. period</t>
    </r>
  </si>
  <si>
    <t>o  Calculation: Total self-reported GPA of all admits (Summer 2008 through Spring 2013) divided by the number of admits who reported their GPA</t>
  </si>
  <si>
    <r>
      <t>o  Calculation:  Number of applicants who identified themselves as Black American, Hispanic/Latino or American I</t>
    </r>
    <r>
      <rPr>
        <sz val="12"/>
        <rFont val="Calibri"/>
        <family val="2"/>
        <scheme val="minor"/>
      </rPr>
      <t xml:space="preserve">ndian divided by total number of applicants (Summer 2008 through Spring 2013) </t>
    </r>
  </si>
  <si>
    <t>o  Calculation: No. of fall 2013 students funded on assistantship and/or fellowship divided by total number of PhD students enrolled in October 2013</t>
  </si>
  <si>
    <t>o  Data Source:  Job Placement System. Number of PhD graduates who were placed in faculty positions</t>
  </si>
  <si>
    <t>o  Data Source:  Job Placement System.  Number of PhD graduates who were placed in non-academic positions</t>
  </si>
  <si>
    <t>o  Data Source:  Job Placement System. Number of PhD graduates who were placed in post-doctoral positions</t>
  </si>
  <si>
    <t>o  Calculation:  Number of budgeted graduate faculty divided by total number of budgeted faculty</t>
  </si>
  <si>
    <t>o  Calculation:  Number of Tenured Track graduate faculty divided by total number of budgeted graduate faculty</t>
  </si>
  <si>
    <t xml:space="preserve">           21. Completion Rate for minority students first enrolled from Summer 2004 to Spring 2007</t>
  </si>
  <si>
    <t xml:space="preserve">           20. Attrition Rate for minority students first enrolled from Summer 2004 to Spring 2007</t>
  </si>
  <si>
    <t xml:space="preserve">           19. Minority enrollment Fall 2013</t>
  </si>
  <si>
    <t>7.      Completion rate for PhD students first enrolled from Summer 2004 to Spring 2007</t>
  </si>
  <si>
    <t>6.      Attrition rate for PhD students first enrolled from Summer 2004 to Spring 2007</t>
  </si>
  <si>
    <t>Student / Faculty Ratio</t>
  </si>
  <si>
    <t>54/55/
80/91/98/122/124</t>
  </si>
  <si>
    <t>Total PhD's Awarded (Summer 2008-Spring 2013)</t>
  </si>
  <si>
    <t>Completion rate for PhD students first enrolled from Summer 2005 to Spring 2010</t>
  </si>
  <si>
    <t>o  PhD degree awarded by December 2013</t>
  </si>
  <si>
    <t>Attrition rate for PhD students first enrolled from Summer 2005 to Spring 2010</t>
  </si>
  <si>
    <t>o  Enrollment status for this cohort was determined Spring 2014</t>
  </si>
  <si>
    <t>o  Calculation: Number of attrited students in the cohort (non-enrolled as of Spring 2014) divided by total number of students in the cohort</t>
  </si>
  <si>
    <t xml:space="preserve">PhD Students still Active </t>
  </si>
  <si>
    <t>o  Calculation: Number of Active-registered and Active-not registered students in the cohort (as of Spring 2014) divided by total number of students in the cohort</t>
  </si>
  <si>
    <t>ALL STUDENTS</t>
  </si>
  <si>
    <t>MINORITIES</t>
  </si>
  <si>
    <t>Major</t>
  </si>
  <si>
    <t>Total Students</t>
  </si>
  <si>
    <t>Total Graduated</t>
  </si>
  <si>
    <t>Total still Active-Enrolled Spring 2014</t>
  </si>
  <si>
    <t>Total Active-Not Enrolled Spring 2014</t>
  </si>
  <si>
    <t>Total Inactive / Dropped Spring 2014</t>
  </si>
  <si>
    <t>Percent Graduation (completion rate) for All Students</t>
  </si>
  <si>
    <t>Percent Attrition All Students</t>
  </si>
  <si>
    <t xml:space="preserve">Percent All Students Still Active </t>
  </si>
  <si>
    <t xml:space="preserve">Total Minority </t>
  </si>
  <si>
    <t>Total Minority Graduates</t>
  </si>
  <si>
    <t>Total Minority Still Enrolled Spring 2014</t>
  </si>
  <si>
    <t>Total Minority Active-Not Enrolled Spring 2014</t>
  </si>
  <si>
    <t>Total Minority Inactive / Dropped Spring 2014</t>
  </si>
  <si>
    <t>Percent Graduation (Completion rate) for Minority Students</t>
  </si>
  <si>
    <t>Percent Attrition Minority Students</t>
  </si>
  <si>
    <t xml:space="preserve">Percent Minority Students Still Active </t>
  </si>
  <si>
    <t>56/572</t>
  </si>
  <si>
    <t>TOTAL</t>
  </si>
  <si>
    <t>Percent of minority students: Fall 2013              Med:  8.6%
Mn:  9.9%
MAD:  4.3%
SD:  7.3%
Range: 0% - 27.3%
Q4: 13.5% - 27.3%
Q3:  8.7% - 13.4%
Q2:  4.6% - 8.6%              
Q1:  0% - 4.5%</t>
  </si>
  <si>
    <t>Percent of admitted applicants who matriculated: 2008-2013                           Med:  62.50%
Mn:  61.2%
MAD: 14.4%
SD:  18.3%
Range: 25.3%-92.9%
Q4:  74.7%-92.9%
Q3:  62.6%-74.6%
Q2:  46.4%-62.5%      
Q1:  25.3%-46.3%</t>
  </si>
  <si>
    <t>Median Time-to-Degree: 2008-2013                   Med:  5.0 
Mn:  4.9
MAD:  0.7
SD:  0.8
Range: 3.0 - 7.0
Q4:  3.0 - 4.3
Q3:  4.4 - 5.0
Q2:  5.1 - 5.3            Q1:  5.4 - 7.0</t>
  </si>
  <si>
    <t xml:space="preserve">Attrition Rate for 2004-2007 Matriculants        Med:  31.6%
Mn:  32.9%
MAD:  8.5%
SD:  13.0%
Range: 7.1%-64.0%
Q4:  7.1%-23.9%
Q3:  24.0%-31.6%
Q2:  31.7%-40.9%
Q1:  41.0%-64.0%
             </t>
  </si>
  <si>
    <t>Completion Rate for 2004-2007 Matriculants                         Med:  64.0%
Mn:  61.7%
MAD:  8.3%
SD:  14.1%
Range: 27.3%-86.7%
Q4:  70.7%-86.7%
Q3:  64.1%-70.6%
Q2:  54.3%-64.0%
Q1:  27.3%-54.2%</t>
  </si>
  <si>
    <t>Number of 2012 graduates (from any program) chaired per budgeted faculty       Med:  0.32
Mn:  0.37 
MAD:  0.13
SD:  0.21
Range: 0.00 - 0.94
Q4:  0.51 - 0.94
Q3:  0.33 - 0.50
Q2:  0.23 - 0.32        
Q1:  0.00 - 0.22</t>
  </si>
  <si>
    <t>Budgeted Grad Faculty                 Med:  23.03
Mn: 26.20
MAD: 9.75
SD:  15.03
Range: 4.25 - 79.90
Q4:  35.94 - 79.90  
Q3:  23.04 - 35.93 
Q2:  15.64 - 23.03
Q1:  4.25 - 15.63</t>
  </si>
  <si>
    <t xml:space="preserve">Percent of applicants who were offered admission: 2008-2013                         Med:  28.9%
Mn:  29.7%
MAD:  11.2%
SD:  13.8%
Range: 3.5% - 53.5% 
Q4:  3.5% - 19.0%                  Q3:  19.1% - 28.9% 
Q2:  29.0% - 41.0%                   Q1:  41.1% - 53.5%
</t>
  </si>
  <si>
    <t>Number of 2012 program graduates        Med:  8.5
Mn:  11.0
MAD:  4.5
SD:  8.0
Range: 0 - 33
Q4:  14.9 - 33.0
Q3:  8.6 - 14.8
Q2:  5.4 -  8.5      
Q1:  0.0 - 5.3</t>
  </si>
  <si>
    <t>Total number of students enrolled: Fall 2013                     Med:  59.0
Mn:  65.4
MAD:   27.5
SD: 49.8
Range: 4 - 265
Q4:  83.9 - 265
Q3:  60 - 83.8
Q2:  32 - 59          
Q1:  4 - 31</t>
  </si>
  <si>
    <t>Total number of students enrolled: Fall 2013                  Med:  34.0
Mn:  50.1
MAD:  18.0
SD:  44.8
Range:  0 - 265 
Q4:  64.6 - 265
Q3:  34.1 - 64.5
Q2:  21.9 - 34.0                            Q1:  0.0 - 21.8</t>
  </si>
  <si>
    <t>Percent of minority students: Fall 2013                          Med:  8.9%
Mn:  13.1%
MAD: 6.0%
SD:  14.1%
Range: 0% - 100% 
Q4:  17.0% - 100.0%
Q3:  9.0% - 16.9%
Q2:  5.2% - 8.9%                             Q1:  0% - 5.1%</t>
  </si>
  <si>
    <t xml:space="preserve">Percent of applicants who were offered admission: 2008-2013                         Med:  32.4%     
Mn:  31.6%
MAD:  10.3%
SD:  15.5%
Range:  3.5% - 67.7% 
Q4:  3.5% - 20.3%                 Q3:  20.4% - 32.4%
Q2:  32.5% - 41.9%                      Q1:  42.0% - 67.7%
</t>
  </si>
  <si>
    <t>Percent of admitted applicants who matriculated: 2008-2013                             Med:  62.5%
Mn:  59.3%
MAD:  15.4%
SD:  21.0%
Range:  0% - 100%
Q4:  75.2% - 100%
Q3:  62.6% - 75.1%
Q2:  42.2% - 62.5%      
Q1:  0.0% - 42.1%</t>
  </si>
  <si>
    <t xml:space="preserve">Median Time-to-Degree: 2008-2013                         Med:  4.8
Mn:  4.9
MAD:  0.5
SD:  0.9
Range:  3.0 - 7.6 
Q4:  3.0 - 4.3
Q3:  4.4 - 4.8
Q2:  4.9 - 7.0                         Q1:  7.1 - 7.6 </t>
  </si>
  <si>
    <t>Attrition Rate for 2004-2007 Matriculants              Med:  31.3%
Mn:  32.8%
MAD:  8.6%
SD:  15.5%
Range: 0.0%-100% 
Q4:  0.0% - 23.5%
Q3:  23.6% - 31.3% 
Q2:  31.4% - 40.0%      Q1:  40.1% - 100%</t>
  </si>
  <si>
    <t xml:space="preserve">Completion Rate for 2004-2007 Matriculants        Med:  64.0%
Mn:  61.6%
MAD:  8.4%
SD:  16.6%
Range: 0% - 100.0% 
Q4:  71.2%-100.0% 
Q3:  64.1% - 71.1%
Q2:  53.8% - 64.0%                         Q1:  0% - 53.7% </t>
  </si>
  <si>
    <t>Number of 2012 program graduates      Med:  6.0
Mn:  8.5
MAD:  3.0
SD:  7.1
Range: 0.0 - 33.0
Q4:  11.4 - 33.0 
Q3:  6.1 - 11.3 
Q2:  4.1 - 6.0     
Q1:  0.0 - 4.0</t>
  </si>
  <si>
    <t>Quantitative Criterion Indicator Descriptions for 2013:  Sheet 2.</t>
  </si>
  <si>
    <t>Quantitative Additive Data Descriptions for 2013: Sheet 5.</t>
  </si>
  <si>
    <t xml:space="preserve"> Number of the 8 Indicators in the Q4 and Q1 Quartiles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</si>
</sst>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mbria"/>
      <family val="2"/>
    </font>
    <font>
      <sz val="11"/>
      <color theme="1"/>
      <name val="Cambria"/>
      <family val="2"/>
    </font>
    <font>
      <sz val="11"/>
      <color theme="1"/>
      <name val="Cambria"/>
      <family val="2"/>
    </font>
    <font>
      <sz val="11"/>
      <color theme="1"/>
      <name val="Cambria"/>
      <family val="2"/>
    </font>
    <font>
      <sz val="11"/>
      <color theme="1"/>
      <name val="Cambria"/>
      <family val="2"/>
    </font>
    <font>
      <sz val="11"/>
      <color theme="1"/>
      <name val="Cambria"/>
      <family val="2"/>
    </font>
    <font>
      <sz val="11"/>
      <color theme="1"/>
      <name val="Cambria"/>
      <family val="2"/>
    </font>
    <font>
      <sz val="11"/>
      <color theme="1"/>
      <name val="Cambria"/>
      <family val="2"/>
    </font>
    <font>
      <sz val="11"/>
      <color theme="1"/>
      <name val="Cambri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indexed="10"/>
      <name val="Arial"/>
      <family val="2"/>
    </font>
    <font>
      <sz val="10"/>
      <color indexed="17"/>
      <name val="Arial"/>
      <family val="2"/>
    </font>
    <font>
      <u/>
      <sz val="10"/>
      <color indexed="17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mbria"/>
      <family val="1"/>
    </font>
    <font>
      <b/>
      <sz val="11"/>
      <color theme="0"/>
      <name val="Cambria"/>
      <family val="1"/>
    </font>
    <font>
      <b/>
      <sz val="11"/>
      <color theme="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b/>
      <u/>
      <sz val="11"/>
      <color theme="1"/>
      <name val="Arial"/>
      <family val="2"/>
    </font>
    <font>
      <u/>
      <sz val="10"/>
      <color rgb="FFFF0000"/>
      <name val="Arial"/>
      <family val="2"/>
    </font>
    <font>
      <b/>
      <sz val="12"/>
      <name val="Arial"/>
      <family val="2"/>
    </font>
    <font>
      <b/>
      <sz val="11"/>
      <color theme="1"/>
      <name val="Cambria"/>
      <family val="2"/>
    </font>
    <font>
      <b/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1"/>
      <color indexed="8"/>
      <name val="Cambria"/>
      <family val="1"/>
    </font>
    <font>
      <sz val="11"/>
      <name val="Cambria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8E4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93333"/>
        <bgColor indexed="64"/>
      </patternFill>
    </fill>
    <fill>
      <patternFill patternType="solid">
        <fgColor rgb="FFFD3333"/>
        <bgColor indexed="64"/>
      </patternFill>
    </fill>
    <fill>
      <patternFill patternType="solid">
        <fgColor rgb="FFFFC7C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7">
    <xf numFmtId="0" fontId="0" fillId="0" borderId="0"/>
    <xf numFmtId="9" fontId="27" fillId="0" borderId="0" applyFont="0" applyFill="0" applyBorder="0" applyAlignment="0" applyProtection="0"/>
    <xf numFmtId="0" fontId="15" fillId="0" borderId="0"/>
    <xf numFmtId="0" fontId="15" fillId="0" borderId="0"/>
    <xf numFmtId="0" fontId="9" fillId="0" borderId="0"/>
    <xf numFmtId="9" fontId="9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52" fillId="40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27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27" fillId="0" borderId="0"/>
    <xf numFmtId="9" fontId="2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" fillId="0" borderId="0"/>
    <xf numFmtId="0" fontId="27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7" fillId="0" borderId="0"/>
    <xf numFmtId="9" fontId="2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7" fillId="0" borderId="0"/>
    <xf numFmtId="9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917">
    <xf numFmtId="0" fontId="0" fillId="0" borderId="0" xfId="0"/>
    <xf numFmtId="0" fontId="0" fillId="0" borderId="1" xfId="0" applyFill="1" applyBorder="1"/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1" xfId="0" applyFont="1" applyBorder="1"/>
    <xf numFmtId="164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15" fillId="8" borderId="1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left"/>
    </xf>
    <xf numFmtId="0" fontId="15" fillId="10" borderId="1" xfId="0" applyFont="1" applyFill="1" applyBorder="1" applyAlignment="1">
      <alignment horizontal="left"/>
    </xf>
    <xf numFmtId="0" fontId="15" fillId="11" borderId="1" xfId="0" applyFont="1" applyFill="1" applyBorder="1" applyAlignment="1">
      <alignment horizontal="left"/>
    </xf>
    <xf numFmtId="0" fontId="15" fillId="12" borderId="1" xfId="0" applyFont="1" applyFill="1" applyBorder="1" applyAlignment="1">
      <alignment horizontal="left"/>
    </xf>
    <xf numFmtId="164" fontId="17" fillId="0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wrapText="1"/>
    </xf>
    <xf numFmtId="0" fontId="19" fillId="0" borderId="1" xfId="0" applyFont="1" applyFill="1" applyBorder="1"/>
    <xf numFmtId="0" fontId="20" fillId="0" borderId="1" xfId="0" applyFont="1" applyFill="1" applyBorder="1"/>
    <xf numFmtId="0" fontId="24" fillId="2" borderId="0" xfId="0" applyFont="1" applyFill="1"/>
    <xf numFmtId="0" fontId="15" fillId="21" borderId="1" xfId="0" applyFont="1" applyFill="1" applyBorder="1" applyAlignment="1">
      <alignment horizontal="left"/>
    </xf>
    <xf numFmtId="0" fontId="15" fillId="18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17" borderId="0" xfId="0" applyFill="1" applyAlignment="1">
      <alignment horizontal="center"/>
    </xf>
    <xf numFmtId="0" fontId="0" fillId="17" borderId="1" xfId="0" applyFill="1" applyBorder="1" applyAlignment="1">
      <alignment horizontal="center"/>
    </xf>
    <xf numFmtId="0" fontId="14" fillId="17" borderId="1" xfId="0" applyFont="1" applyFill="1" applyBorder="1" applyAlignment="1">
      <alignment horizontal="center"/>
    </xf>
    <xf numFmtId="0" fontId="0" fillId="17" borderId="0" xfId="0" applyFill="1"/>
    <xf numFmtId="1" fontId="0" fillId="17" borderId="0" xfId="0" applyNumberFormat="1" applyFill="1" applyBorder="1" applyAlignment="1">
      <alignment horizontal="center"/>
    </xf>
    <xf numFmtId="0" fontId="17" fillId="17" borderId="1" xfId="0" applyFont="1" applyFill="1" applyBorder="1" applyAlignment="1">
      <alignment horizontal="center" vertical="center" wrapText="1"/>
    </xf>
    <xf numFmtId="0" fontId="19" fillId="17" borderId="1" xfId="0" applyFont="1" applyFill="1" applyBorder="1"/>
    <xf numFmtId="0" fontId="10" fillId="0" borderId="0" xfId="0" applyFont="1" applyAlignment="1">
      <alignment horizontal="left" vertical="center"/>
    </xf>
    <xf numFmtId="165" fontId="0" fillId="0" borderId="0" xfId="0" applyNumberFormat="1"/>
    <xf numFmtId="0" fontId="15" fillId="6" borderId="1" xfId="0" applyFont="1" applyFill="1" applyBorder="1" applyAlignment="1">
      <alignment horizontal="left"/>
    </xf>
    <xf numFmtId="0" fontId="15" fillId="13" borderId="1" xfId="0" applyFont="1" applyFill="1" applyBorder="1" applyAlignment="1">
      <alignment horizontal="left"/>
    </xf>
    <xf numFmtId="0" fontId="24" fillId="26" borderId="0" xfId="0" applyFont="1" applyFill="1"/>
    <xf numFmtId="0" fontId="24" fillId="27" borderId="0" xfId="0" applyFont="1" applyFill="1"/>
    <xf numFmtId="0" fontId="0" fillId="25" borderId="0" xfId="0" applyFill="1"/>
    <xf numFmtId="165" fontId="0" fillId="25" borderId="0" xfId="0" applyNumberFormat="1" applyFill="1"/>
    <xf numFmtId="165" fontId="0" fillId="0" borderId="0" xfId="0" applyNumberFormat="1" applyFill="1"/>
    <xf numFmtId="0" fontId="0" fillId="0" borderId="0" xfId="0" applyAlignment="1">
      <alignment horizontal="center"/>
    </xf>
    <xf numFmtId="0" fontId="0" fillId="25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164" fontId="0" fillId="25" borderId="0" xfId="1" applyNumberFormat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  <xf numFmtId="164" fontId="17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28" borderId="1" xfId="0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/>
    </xf>
    <xf numFmtId="0" fontId="0" fillId="25" borderId="0" xfId="0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15" fillId="29" borderId="1" xfId="0" applyFont="1" applyFill="1" applyBorder="1" applyAlignment="1">
      <alignment horizontal="left"/>
    </xf>
    <xf numFmtId="0" fontId="15" fillId="20" borderId="1" xfId="0" applyFont="1" applyFill="1" applyBorder="1" applyAlignment="1">
      <alignment horizontal="left"/>
    </xf>
    <xf numFmtId="0" fontId="0" fillId="29" borderId="1" xfId="0" applyFill="1" applyBorder="1" applyAlignment="1">
      <alignment horizontal="center"/>
    </xf>
    <xf numFmtId="0" fontId="14" fillId="0" borderId="0" xfId="0" applyFont="1" applyFill="1" applyBorder="1"/>
    <xf numFmtId="0" fontId="0" fillId="20" borderId="1" xfId="0" applyFill="1" applyBorder="1" applyAlignment="1">
      <alignment horizontal="center"/>
    </xf>
    <xf numFmtId="0" fontId="15" fillId="0" borderId="13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right"/>
    </xf>
    <xf numFmtId="164" fontId="14" fillId="0" borderId="13" xfId="0" applyNumberFormat="1" applyFont="1" applyFill="1" applyBorder="1" applyAlignment="1">
      <alignment horizontal="center"/>
    </xf>
    <xf numFmtId="164" fontId="14" fillId="0" borderId="13" xfId="1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165" fontId="14" fillId="0" borderId="13" xfId="0" applyNumberFormat="1" applyFont="1" applyFill="1" applyBorder="1" applyAlignment="1">
      <alignment horizontal="center"/>
    </xf>
    <xf numFmtId="0" fontId="19" fillId="0" borderId="13" xfId="0" applyFont="1" applyFill="1" applyBorder="1"/>
    <xf numFmtId="0" fontId="19" fillId="17" borderId="13" xfId="0" applyFont="1" applyFill="1" applyBorder="1"/>
    <xf numFmtId="0" fontId="20" fillId="0" borderId="13" xfId="0" applyFont="1" applyFill="1" applyBorder="1"/>
    <xf numFmtId="0" fontId="0" fillId="0" borderId="0" xfId="0" applyBorder="1"/>
    <xf numFmtId="0" fontId="15" fillId="0" borderId="13" xfId="0" applyFont="1" applyFill="1" applyBorder="1" applyAlignment="1">
      <alignment horizontal="center"/>
    </xf>
    <xf numFmtId="0" fontId="14" fillId="17" borderId="13" xfId="0" applyFont="1" applyFill="1" applyBorder="1" applyAlignment="1">
      <alignment horizontal="center"/>
    </xf>
    <xf numFmtId="0" fontId="14" fillId="0" borderId="0" xfId="0" applyFont="1" applyBorder="1"/>
    <xf numFmtId="0" fontId="0" fillId="30" borderId="0" xfId="0" applyFill="1"/>
    <xf numFmtId="0" fontId="0" fillId="30" borderId="0" xfId="0" applyFill="1" applyAlignment="1">
      <alignment horizontal="center"/>
    </xf>
    <xf numFmtId="165" fontId="14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165" fontId="14" fillId="0" borderId="13" xfId="0" applyNumberFormat="1" applyFont="1" applyFill="1" applyBorder="1" applyAlignment="1">
      <alignment horizontal="center" vertical="center"/>
    </xf>
    <xf numFmtId="0" fontId="11" fillId="20" borderId="0" xfId="0" applyFont="1" applyFill="1" applyAlignment="1">
      <alignment vertical="center"/>
    </xf>
    <xf numFmtId="0" fontId="0" fillId="0" borderId="0" xfId="0" applyAlignment="1"/>
    <xf numFmtId="0" fontId="10" fillId="22" borderId="6" xfId="0" applyFont="1" applyFill="1" applyBorder="1" applyAlignment="1">
      <alignment vertical="center"/>
    </xf>
    <xf numFmtId="0" fontId="10" fillId="22" borderId="0" xfId="0" applyFont="1" applyFill="1" applyAlignment="1">
      <alignment vertical="center"/>
    </xf>
    <xf numFmtId="0" fontId="10" fillId="22" borderId="8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25" fillId="19" borderId="0" xfId="0" applyFont="1" applyFill="1" applyAlignment="1">
      <alignment vertical="center"/>
    </xf>
    <xf numFmtId="0" fontId="25" fillId="19" borderId="10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24" borderId="1" xfId="0" applyFont="1" applyFill="1" applyBorder="1" applyAlignment="1">
      <alignment horizontal="center" vertical="center"/>
    </xf>
    <xf numFmtId="0" fontId="0" fillId="24" borderId="1" xfId="0" applyFill="1" applyBorder="1"/>
    <xf numFmtId="0" fontId="11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1" xfId="0" applyFill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right" vertical="center"/>
    </xf>
    <xf numFmtId="0" fontId="14" fillId="17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2" fontId="0" fillId="0" borderId="0" xfId="0" applyNumberFormat="1" applyBorder="1"/>
    <xf numFmtId="1" fontId="14" fillId="0" borderId="1" xfId="0" applyNumberFormat="1" applyFont="1" applyFill="1" applyBorder="1" applyAlignment="1">
      <alignment horizontal="center"/>
    </xf>
    <xf numFmtId="1" fontId="0" fillId="0" borderId="0" xfId="0" applyNumberFormat="1" applyFill="1"/>
    <xf numFmtId="1" fontId="14" fillId="0" borderId="0" xfId="0" applyNumberFormat="1" applyFont="1" applyFill="1" applyBorder="1" applyAlignment="1">
      <alignment horizontal="center"/>
    </xf>
    <xf numFmtId="0" fontId="0" fillId="2" borderId="0" xfId="0" applyFill="1"/>
    <xf numFmtId="0" fontId="0" fillId="30" borderId="0" xfId="0" applyFill="1" applyBorder="1"/>
    <xf numFmtId="0" fontId="0" fillId="13" borderId="0" xfId="0" applyFill="1" applyBorder="1"/>
    <xf numFmtId="0" fontId="0" fillId="32" borderId="0" xfId="0" applyFill="1" applyBorder="1"/>
    <xf numFmtId="0" fontId="0" fillId="2" borderId="0" xfId="0" applyFill="1" applyBorder="1"/>
    <xf numFmtId="0" fontId="0" fillId="33" borderId="0" xfId="0" applyFill="1" applyBorder="1"/>
    <xf numFmtId="0" fontId="15" fillId="0" borderId="1" xfId="0" applyFont="1" applyFill="1" applyBorder="1" applyAlignment="1">
      <alignment horizontal="left" shrinkToFit="1"/>
    </xf>
    <xf numFmtId="0" fontId="14" fillId="0" borderId="1" xfId="0" applyFont="1" applyFill="1" applyBorder="1" applyAlignment="1">
      <alignment horizontal="left" shrinkToFit="1"/>
    </xf>
    <xf numFmtId="0" fontId="15" fillId="0" borderId="13" xfId="0" applyFont="1" applyFill="1" applyBorder="1" applyAlignment="1">
      <alignment horizontal="left" shrinkToFit="1"/>
    </xf>
    <xf numFmtId="0" fontId="15" fillId="0" borderId="1" xfId="0" applyFont="1" applyFill="1" applyBorder="1" applyAlignment="1">
      <alignment horizontal="left" vertical="center" wrapText="1" shrinkToFit="1"/>
    </xf>
    <xf numFmtId="164" fontId="0" fillId="0" borderId="0" xfId="1" applyNumberFormat="1" applyFont="1" applyFill="1" applyAlignment="1">
      <alignment horizontal="center"/>
    </xf>
    <xf numFmtId="10" fontId="33" fillId="0" borderId="0" xfId="1" applyNumberFormat="1" applyFont="1" applyFill="1" applyAlignment="1">
      <alignment horizontal="center"/>
    </xf>
    <xf numFmtId="10" fontId="33" fillId="0" borderId="0" xfId="1" applyNumberFormat="1" applyFont="1" applyAlignment="1">
      <alignment horizontal="center"/>
    </xf>
    <xf numFmtId="0" fontId="33" fillId="0" borderId="0" xfId="0" applyFont="1"/>
    <xf numFmtId="0" fontId="33" fillId="0" borderId="0" xfId="0" applyFont="1" applyFill="1"/>
    <xf numFmtId="0" fontId="35" fillId="0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2" fontId="10" fillId="34" borderId="0" xfId="0" applyNumberFormat="1" applyFont="1" applyFill="1" applyBorder="1"/>
    <xf numFmtId="2" fontId="10" fillId="0" borderId="0" xfId="0" applyNumberFormat="1" applyFont="1" applyBorder="1"/>
    <xf numFmtId="0" fontId="0" fillId="0" borderId="0" xfId="0" applyFill="1" applyBorder="1" applyAlignment="1">
      <alignment horizontal="center"/>
    </xf>
    <xf numFmtId="0" fontId="10" fillId="0" borderId="0" xfId="0" applyFont="1" applyFill="1"/>
    <xf numFmtId="0" fontId="36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0" fillId="33" borderId="0" xfId="0" applyFont="1" applyFill="1" applyBorder="1"/>
    <xf numFmtId="0" fontId="10" fillId="0" borderId="0" xfId="0" applyNumberFormat="1" applyFont="1" applyBorder="1"/>
    <xf numFmtId="0" fontId="0" fillId="4" borderId="0" xfId="0" applyFill="1" applyBorder="1"/>
    <xf numFmtId="0" fontId="0" fillId="37" borderId="0" xfId="0" applyFill="1" applyBorder="1"/>
    <xf numFmtId="0" fontId="15" fillId="0" borderId="1" xfId="0" applyFont="1" applyFill="1" applyBorder="1" applyAlignment="1">
      <alignment horizontal="left" wrapText="1" shrinkToFit="1"/>
    </xf>
    <xf numFmtId="0" fontId="37" fillId="0" borderId="0" xfId="0" applyFont="1"/>
    <xf numFmtId="0" fontId="37" fillId="0" borderId="0" xfId="0" applyFont="1" applyFill="1"/>
    <xf numFmtId="0" fontId="37" fillId="33" borderId="0" xfId="0" applyFont="1" applyFill="1" applyBorder="1"/>
    <xf numFmtId="10" fontId="14" fillId="31" borderId="0" xfId="1" applyNumberFormat="1" applyFont="1" applyFill="1"/>
    <xf numFmtId="0" fontId="36" fillId="0" borderId="0" xfId="0" applyFont="1" applyFill="1" applyBorder="1" applyAlignment="1">
      <alignment horizontal="center" wrapText="1"/>
    </xf>
    <xf numFmtId="0" fontId="14" fillId="31" borderId="0" xfId="0" applyFont="1" applyFill="1" applyAlignment="1">
      <alignment horizontal="center"/>
    </xf>
    <xf numFmtId="2" fontId="32" fillId="31" borderId="0" xfId="0" applyNumberFormat="1" applyFont="1" applyFill="1"/>
    <xf numFmtId="1" fontId="14" fillId="31" borderId="0" xfId="0" applyNumberFormat="1" applyFont="1" applyFill="1"/>
    <xf numFmtId="0" fontId="14" fillId="31" borderId="0" xfId="0" applyFont="1" applyFill="1"/>
    <xf numFmtId="0" fontId="14" fillId="0" borderId="0" xfId="0" applyFont="1" applyFill="1"/>
    <xf numFmtId="0" fontId="14" fillId="0" borderId="0" xfId="0" applyFo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32" fillId="0" borderId="0" xfId="0" applyFont="1" applyFill="1" applyAlignment="1">
      <alignment horizontal="center"/>
    </xf>
    <xf numFmtId="2" fontId="32" fillId="0" borderId="0" xfId="0" applyNumberFormat="1" applyFont="1" applyFill="1"/>
    <xf numFmtId="0" fontId="14" fillId="0" borderId="0" xfId="0" applyFont="1" applyAlignment="1">
      <alignment horizontal="center"/>
    </xf>
    <xf numFmtId="2" fontId="14" fillId="0" borderId="0" xfId="0" applyNumberFormat="1" applyFont="1" applyFill="1"/>
    <xf numFmtId="0" fontId="0" fillId="0" borderId="0" xfId="0" applyFont="1" applyFill="1"/>
    <xf numFmtId="0" fontId="0" fillId="35" borderId="1" xfId="0" applyFill="1" applyBorder="1"/>
    <xf numFmtId="0" fontId="0" fillId="35" borderId="1" xfId="0" applyFill="1" applyBorder="1" applyAlignment="1">
      <alignment horizontal="center"/>
    </xf>
    <xf numFmtId="0" fontId="0" fillId="35" borderId="1" xfId="0" applyFill="1" applyBorder="1" applyAlignment="1">
      <alignment horizontal="right"/>
    </xf>
    <xf numFmtId="0" fontId="14" fillId="30" borderId="0" xfId="0" applyFont="1" applyFill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34" fillId="4" borderId="1" xfId="0" applyNumberFormat="1" applyFont="1" applyFill="1" applyBorder="1" applyAlignment="1">
      <alignment horizontal="center"/>
    </xf>
    <xf numFmtId="1" fontId="39" fillId="4" borderId="2" xfId="0" applyNumberFormat="1" applyFont="1" applyFill="1" applyBorder="1" applyAlignment="1">
      <alignment horizontal="center"/>
    </xf>
    <xf numFmtId="1" fontId="14" fillId="4" borderId="2" xfId="0" applyNumberFormat="1" applyFont="1" applyFill="1" applyBorder="1" applyAlignment="1">
      <alignment horizontal="center"/>
    </xf>
    <xf numFmtId="0" fontId="32" fillId="31" borderId="0" xfId="0" applyFont="1" applyFill="1" applyAlignment="1">
      <alignment horizontal="center"/>
    </xf>
    <xf numFmtId="2" fontId="32" fillId="0" borderId="0" xfId="0" applyNumberFormat="1" applyFont="1" applyFill="1" applyAlignment="1">
      <alignment horizontal="center"/>
    </xf>
    <xf numFmtId="1" fontId="14" fillId="0" borderId="0" xfId="0" applyNumberFormat="1" applyFont="1" applyFill="1"/>
    <xf numFmtId="0" fontId="0" fillId="0" borderId="0" xfId="0" applyAlignment="1">
      <alignment wrapText="1"/>
    </xf>
    <xf numFmtId="165" fontId="14" fillId="0" borderId="1" xfId="0" applyNumberFormat="1" applyFont="1" applyFill="1" applyBorder="1" applyAlignment="1">
      <alignment horizontal="center" shrinkToFit="1"/>
    </xf>
    <xf numFmtId="10" fontId="40" fillId="31" borderId="13" xfId="0" applyNumberFormat="1" applyFont="1" applyFill="1" applyBorder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39" fillId="0" borderId="0" xfId="0" applyFont="1" applyFill="1"/>
    <xf numFmtId="10" fontId="39" fillId="0" borderId="0" xfId="0" applyNumberFormat="1" applyFont="1" applyBorder="1" applyAlignment="1">
      <alignment horizontal="center"/>
    </xf>
    <xf numFmtId="10" fontId="39" fillId="0" borderId="0" xfId="1" applyNumberFormat="1" applyFont="1" applyAlignment="1">
      <alignment horizontal="center"/>
    </xf>
    <xf numFmtId="164" fontId="27" fillId="0" borderId="0" xfId="1" applyNumberFormat="1" applyFont="1" applyFill="1"/>
    <xf numFmtId="2" fontId="14" fillId="0" borderId="4" xfId="0" applyNumberFormat="1" applyFont="1" applyFill="1" applyBorder="1" applyAlignment="1">
      <alignment horizontal="center"/>
    </xf>
    <xf numFmtId="10" fontId="14" fillId="0" borderId="0" xfId="1" applyNumberFormat="1" applyFont="1" applyAlignment="1">
      <alignment horizontal="center"/>
    </xf>
    <xf numFmtId="10" fontId="14" fillId="0" borderId="0" xfId="1" applyNumberFormat="1" applyFont="1" applyFill="1" applyAlignment="1">
      <alignment horizontal="center"/>
    </xf>
    <xf numFmtId="0" fontId="0" fillId="0" borderId="0" xfId="0" applyFont="1"/>
    <xf numFmtId="0" fontId="0" fillId="0" borderId="0" xfId="0" applyFill="1" applyBorder="1" applyAlignment="1">
      <alignment vertical="center"/>
    </xf>
    <xf numFmtId="0" fontId="10" fillId="0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42" fillId="0" borderId="0" xfId="0" applyFont="1" applyBorder="1"/>
    <xf numFmtId="0" fontId="41" fillId="0" borderId="0" xfId="0" applyFont="1" applyBorder="1" applyAlignment="1">
      <alignment horizontal="left" indent="5"/>
    </xf>
    <xf numFmtId="0" fontId="41" fillId="0" borderId="0" xfId="0" applyFont="1" applyBorder="1" applyAlignment="1">
      <alignment horizontal="left" indent="10"/>
    </xf>
    <xf numFmtId="0" fontId="41" fillId="0" borderId="0" xfId="0" applyFont="1" applyBorder="1" applyAlignment="1">
      <alignment horizontal="left" wrapText="1" indent="10"/>
    </xf>
    <xf numFmtId="0" fontId="41" fillId="0" borderId="0" xfId="0" applyFont="1" applyBorder="1"/>
    <xf numFmtId="0" fontId="41" fillId="0" borderId="0" xfId="0" applyFont="1" applyBorder="1" applyAlignment="1">
      <alignment wrapText="1"/>
    </xf>
    <xf numFmtId="0" fontId="43" fillId="0" borderId="0" xfId="0" applyFont="1" applyFill="1" applyBorder="1" applyAlignment="1">
      <alignment wrapText="1"/>
    </xf>
    <xf numFmtId="0" fontId="41" fillId="0" borderId="0" xfId="0" applyNumberFormat="1" applyFont="1" applyFill="1" applyBorder="1" applyAlignment="1">
      <alignment wrapText="1"/>
    </xf>
    <xf numFmtId="0" fontId="41" fillId="0" borderId="0" xfId="0" applyFont="1" applyFill="1" applyBorder="1" applyAlignment="1">
      <alignment wrapText="1"/>
    </xf>
    <xf numFmtId="0" fontId="42" fillId="0" borderId="0" xfId="0" applyFont="1" applyBorder="1" applyAlignment="1">
      <alignment wrapText="1"/>
    </xf>
    <xf numFmtId="0" fontId="44" fillId="0" borderId="0" xfId="0" applyFont="1" applyFill="1" applyBorder="1" applyAlignment="1">
      <alignment wrapText="1"/>
    </xf>
    <xf numFmtId="0" fontId="14" fillId="0" borderId="13" xfId="0" applyFont="1" applyFill="1" applyBorder="1" applyAlignment="1">
      <alignment horizontal="right" wrapText="1"/>
    </xf>
    <xf numFmtId="0" fontId="14" fillId="0" borderId="0" xfId="0" applyFont="1" applyBorder="1" applyAlignment="1">
      <alignment horizontal="center" vertical="center" wrapText="1" shrinkToFit="1"/>
    </xf>
    <xf numFmtId="0" fontId="30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14" fillId="30" borderId="0" xfId="0" applyFont="1" applyFill="1" applyAlignment="1">
      <alignment horizontal="left"/>
    </xf>
    <xf numFmtId="0" fontId="14" fillId="31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30" fillId="0" borderId="1" xfId="0" applyFont="1" applyBorder="1" applyAlignment="1">
      <alignment horizontal="center" vertical="center"/>
    </xf>
    <xf numFmtId="0" fontId="14" fillId="35" borderId="0" xfId="0" applyFont="1" applyFill="1" applyAlignment="1">
      <alignment horizontal="center"/>
    </xf>
    <xf numFmtId="166" fontId="0" fillId="0" borderId="0" xfId="0" applyNumberFormat="1" applyAlignment="1">
      <alignment horizontal="right"/>
    </xf>
    <xf numFmtId="166" fontId="0" fillId="0" borderId="0" xfId="0" applyNumberFormat="1"/>
    <xf numFmtId="166" fontId="10" fillId="34" borderId="0" xfId="0" applyNumberFormat="1" applyFont="1" applyFill="1" applyBorder="1"/>
    <xf numFmtId="10" fontId="0" fillId="0" borderId="0" xfId="1" applyNumberFormat="1" applyFont="1" applyFill="1" applyAlignment="1">
      <alignment horizontal="center"/>
    </xf>
    <xf numFmtId="10" fontId="14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center"/>
    </xf>
    <xf numFmtId="0" fontId="32" fillId="31" borderId="4" xfId="0" applyFont="1" applyFill="1" applyBorder="1" applyAlignment="1">
      <alignment horizontal="center"/>
    </xf>
    <xf numFmtId="10" fontId="14" fillId="0" borderId="0" xfId="1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4" fontId="17" fillId="0" borderId="2" xfId="1" applyNumberFormat="1" applyFont="1" applyFill="1" applyBorder="1" applyAlignment="1">
      <alignment horizontal="center"/>
    </xf>
    <xf numFmtId="164" fontId="17" fillId="0" borderId="1" xfId="1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2" fontId="14" fillId="0" borderId="15" xfId="0" applyNumberFormat="1" applyFont="1" applyFill="1" applyBorder="1"/>
    <xf numFmtId="2" fontId="14" fillId="0" borderId="34" xfId="0" applyNumberFormat="1" applyFont="1" applyFill="1" applyBorder="1" applyAlignment="1">
      <alignment horizontal="center"/>
    </xf>
    <xf numFmtId="165" fontId="14" fillId="0" borderId="5" xfId="0" applyNumberFormat="1" applyFont="1" applyFill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2" fontId="17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0" borderId="34" xfId="0" applyNumberFormat="1" applyFont="1" applyFill="1" applyBorder="1" applyAlignment="1">
      <alignment horizontal="center"/>
    </xf>
    <xf numFmtId="0" fontId="0" fillId="0" borderId="0" xfId="0" applyFill="1"/>
    <xf numFmtId="0" fontId="14" fillId="0" borderId="34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left" shrinkToFit="1"/>
    </xf>
    <xf numFmtId="0" fontId="10" fillId="0" borderId="1" xfId="0" applyFont="1" applyFill="1" applyBorder="1" applyAlignment="1">
      <alignment horizontal="center" shrinkToFit="1"/>
    </xf>
    <xf numFmtId="0" fontId="14" fillId="0" borderId="5" xfId="0" applyFont="1" applyFill="1" applyBorder="1" applyAlignment="1">
      <alignment horizontal="center" shrinkToFit="1"/>
    </xf>
    <xf numFmtId="0" fontId="14" fillId="0" borderId="1" xfId="0" applyFont="1" applyFill="1" applyBorder="1" applyAlignment="1">
      <alignment horizontal="center" shrinkToFit="1"/>
    </xf>
    <xf numFmtId="0" fontId="14" fillId="0" borderId="13" xfId="0" applyFont="1" applyFill="1" applyBorder="1" applyAlignment="1">
      <alignment horizont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30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2" fontId="14" fillId="31" borderId="0" xfId="0" applyNumberFormat="1" applyFont="1" applyFill="1" applyAlignment="1">
      <alignment horizontal="center"/>
    </xf>
    <xf numFmtId="0" fontId="17" fillId="0" borderId="1" xfId="0" applyFont="1" applyFill="1" applyBorder="1" applyAlignment="1">
      <alignment vertical="top" wrapText="1" shrinkToFit="1"/>
    </xf>
    <xf numFmtId="164" fontId="17" fillId="0" borderId="13" xfId="1" applyNumberFormat="1" applyFont="1" applyFill="1" applyBorder="1" applyAlignment="1">
      <alignment vertical="top" wrapText="1" shrinkToFit="1"/>
    </xf>
    <xf numFmtId="164" fontId="17" fillId="0" borderId="1" xfId="1" applyNumberFormat="1" applyFont="1" applyFill="1" applyBorder="1" applyAlignment="1">
      <alignment vertical="top" wrapText="1" shrinkToFit="1"/>
    </xf>
    <xf numFmtId="0" fontId="15" fillId="0" borderId="59" xfId="0" applyFont="1" applyFill="1" applyBorder="1" applyAlignment="1">
      <alignment horizontal="left"/>
    </xf>
    <xf numFmtId="0" fontId="14" fillId="0" borderId="59" xfId="0" applyFont="1" applyFill="1" applyBorder="1" applyAlignment="1">
      <alignment horizontal="left"/>
    </xf>
    <xf numFmtId="0" fontId="14" fillId="0" borderId="59" xfId="0" applyFont="1" applyFill="1" applyBorder="1" applyAlignment="1">
      <alignment horizontal="right"/>
    </xf>
    <xf numFmtId="0" fontId="15" fillId="0" borderId="59" xfId="0" applyFont="1" applyFill="1" applyBorder="1" applyAlignment="1">
      <alignment horizontal="left" shrinkToFit="1"/>
    </xf>
    <xf numFmtId="0" fontId="14" fillId="0" borderId="59" xfId="0" applyFont="1" applyFill="1" applyBorder="1" applyAlignment="1">
      <alignment horizontal="left" vertical="center"/>
    </xf>
    <xf numFmtId="0" fontId="15" fillId="0" borderId="59" xfId="0" applyFont="1" applyFill="1" applyBorder="1" applyAlignment="1">
      <alignment horizontal="left" vertical="center" wrapText="1" shrinkToFit="1"/>
    </xf>
    <xf numFmtId="0" fontId="14" fillId="0" borderId="59" xfId="0" applyFont="1" applyFill="1" applyBorder="1" applyAlignment="1">
      <alignment horizontal="right" vertical="center" wrapText="1"/>
    </xf>
    <xf numFmtId="0" fontId="15" fillId="0" borderId="59" xfId="0" applyFont="1" applyFill="1" applyBorder="1" applyAlignment="1">
      <alignment horizontal="left" wrapText="1" shrinkToFit="1"/>
    </xf>
    <xf numFmtId="0" fontId="17" fillId="0" borderId="59" xfId="0" applyFont="1" applyFill="1" applyBorder="1" applyAlignment="1">
      <alignment horizontal="left"/>
    </xf>
    <xf numFmtId="164" fontId="17" fillId="0" borderId="59" xfId="1" applyNumberFormat="1" applyFont="1" applyFill="1" applyBorder="1" applyAlignment="1">
      <alignment horizontal="center"/>
    </xf>
    <xf numFmtId="164" fontId="14" fillId="0" borderId="59" xfId="0" applyNumberFormat="1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 vertical="center"/>
    </xf>
    <xf numFmtId="165" fontId="17" fillId="0" borderId="3" xfId="0" applyNumberFormat="1" applyFont="1" applyFill="1" applyBorder="1" applyAlignment="1">
      <alignment horizontal="center"/>
    </xf>
    <xf numFmtId="165" fontId="15" fillId="0" borderId="3" xfId="0" applyNumberFormat="1" applyFont="1" applyFill="1" applyBorder="1" applyAlignment="1">
      <alignment horizontal="center"/>
    </xf>
    <xf numFmtId="165" fontId="14" fillId="0" borderId="3" xfId="0" applyNumberFormat="1" applyFont="1" applyFill="1" applyBorder="1" applyAlignment="1">
      <alignment horizontal="center"/>
    </xf>
    <xf numFmtId="164" fontId="17" fillId="0" borderId="2" xfId="1" applyNumberFormat="1" applyFont="1" applyFill="1" applyBorder="1" applyAlignment="1">
      <alignment horizontal="center" vertical="center"/>
    </xf>
    <xf numFmtId="164" fontId="14" fillId="0" borderId="2" xfId="1" applyNumberFormat="1" applyFont="1" applyFill="1" applyBorder="1" applyAlignment="1">
      <alignment horizontal="center"/>
    </xf>
    <xf numFmtId="164" fontId="14" fillId="0" borderId="0" xfId="1" applyNumberFormat="1" applyFont="1" applyFill="1"/>
    <xf numFmtId="164" fontId="14" fillId="0" borderId="0" xfId="1" applyNumberFormat="1" applyFont="1" applyFill="1" applyAlignment="1">
      <alignment horizontal="center"/>
    </xf>
    <xf numFmtId="164" fontId="14" fillId="0" borderId="8" xfId="1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horizontal="left" indent="10"/>
    </xf>
    <xf numFmtId="0" fontId="41" fillId="0" borderId="0" xfId="0" applyFont="1" applyFill="1" applyBorder="1" applyAlignment="1">
      <alignment horizontal="left" wrapText="1" indent="10"/>
    </xf>
    <xf numFmtId="0" fontId="42" fillId="0" borderId="0" xfId="0" applyFont="1" applyFill="1" applyBorder="1"/>
    <xf numFmtId="0" fontId="15" fillId="0" borderId="0" xfId="0" applyFont="1" applyFill="1" applyBorder="1" applyAlignment="1">
      <alignment horizontal="left" shrinkToFit="1"/>
    </xf>
    <xf numFmtId="0" fontId="14" fillId="0" borderId="0" xfId="0" applyFont="1" applyFill="1" applyBorder="1" applyAlignment="1">
      <alignment horizontal="center" shrinkToFit="1"/>
    </xf>
    <xf numFmtId="0" fontId="14" fillId="0" borderId="0" xfId="0" applyFont="1" applyFill="1" applyBorder="1" applyAlignment="1">
      <alignment horizontal="right"/>
    </xf>
    <xf numFmtId="0" fontId="14" fillId="0" borderId="59" xfId="0" applyFont="1" applyFill="1" applyBorder="1" applyAlignment="1">
      <alignment horizontal="center" shrinkToFit="1"/>
    </xf>
    <xf numFmtId="10" fontId="15" fillId="0" borderId="2" xfId="1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/>
    </xf>
    <xf numFmtId="1" fontId="39" fillId="31" borderId="0" xfId="0" applyNumberFormat="1" applyFont="1" applyFill="1" applyAlignment="1">
      <alignment horizontal="center"/>
    </xf>
    <xf numFmtId="1" fontId="14" fillId="0" borderId="0" xfId="0" applyNumberFormat="1" applyFont="1" applyFill="1" applyAlignment="1">
      <alignment horizontal="center"/>
    </xf>
    <xf numFmtId="1" fontId="39" fillId="0" borderId="0" xfId="0" applyNumberFormat="1" applyFont="1" applyFill="1" applyAlignment="1">
      <alignment horizontal="center"/>
    </xf>
    <xf numFmtId="1" fontId="15" fillId="0" borderId="1" xfId="0" applyNumberFormat="1" applyFont="1" applyFill="1" applyBorder="1" applyAlignment="1">
      <alignment horizontal="center" wrapText="1"/>
    </xf>
    <xf numFmtId="1" fontId="15" fillId="0" borderId="5" xfId="0" applyNumberFormat="1" applyFont="1" applyFill="1" applyBorder="1" applyAlignment="1">
      <alignment horizontal="center" wrapText="1"/>
    </xf>
    <xf numFmtId="1" fontId="14" fillId="0" borderId="0" xfId="0" applyNumberFormat="1" applyFont="1" applyFill="1" applyBorder="1"/>
    <xf numFmtId="2" fontId="39" fillId="31" borderId="0" xfId="0" applyNumberFormat="1" applyFont="1" applyFill="1" applyAlignment="1">
      <alignment horizontal="center"/>
    </xf>
    <xf numFmtId="2" fontId="39" fillId="0" borderId="0" xfId="0" applyNumberFormat="1" applyFont="1" applyFill="1"/>
    <xf numFmtId="10" fontId="15" fillId="0" borderId="11" xfId="1" applyNumberFormat="1" applyFont="1" applyFill="1" applyBorder="1" applyAlignment="1">
      <alignment horizontal="center"/>
    </xf>
    <xf numFmtId="10" fontId="15" fillId="0" borderId="0" xfId="1" applyNumberFormat="1" applyFont="1" applyFill="1" applyBorder="1" applyAlignment="1">
      <alignment horizontal="center"/>
    </xf>
    <xf numFmtId="10" fontId="15" fillId="0" borderId="59" xfId="1" applyNumberFormat="1" applyFont="1" applyFill="1" applyBorder="1" applyAlignment="1">
      <alignment horizontal="center"/>
    </xf>
    <xf numFmtId="0" fontId="50" fillId="0" borderId="0" xfId="0" applyFont="1" applyFill="1" applyBorder="1"/>
    <xf numFmtId="0" fontId="50" fillId="0" borderId="0" xfId="0" applyFont="1" applyFill="1" applyBorder="1" applyAlignment="1">
      <alignment horizontal="center"/>
    </xf>
    <xf numFmtId="0" fontId="50" fillId="0" borderId="0" xfId="0" applyFont="1" applyBorder="1"/>
    <xf numFmtId="1" fontId="48" fillId="12" borderId="1" xfId="0" applyNumberFormat="1" applyFont="1" applyFill="1" applyBorder="1" applyAlignment="1">
      <alignment horizontal="center"/>
    </xf>
    <xf numFmtId="0" fontId="48" fillId="12" borderId="1" xfId="0" applyNumberFormat="1" applyFont="1" applyFill="1" applyBorder="1" applyAlignment="1">
      <alignment horizontal="center"/>
    </xf>
    <xf numFmtId="0" fontId="48" fillId="34" borderId="1" xfId="0" applyNumberFormat="1" applyFont="1" applyFill="1" applyBorder="1" applyAlignment="1">
      <alignment horizontal="center"/>
    </xf>
    <xf numFmtId="0" fontId="48" fillId="15" borderId="1" xfId="0" applyNumberFormat="1" applyFont="1" applyFill="1" applyBorder="1" applyAlignment="1">
      <alignment horizontal="center"/>
    </xf>
    <xf numFmtId="0" fontId="50" fillId="15" borderId="1" xfId="0" applyNumberFormat="1" applyFont="1" applyFill="1" applyBorder="1" applyAlignment="1">
      <alignment horizontal="center"/>
    </xf>
    <xf numFmtId="0" fontId="50" fillId="3" borderId="1" xfId="0" applyFont="1" applyFill="1" applyBorder="1" applyAlignment="1">
      <alignment horizontal="center"/>
    </xf>
    <xf numFmtId="0" fontId="50" fillId="3" borderId="59" xfId="0" applyFont="1" applyFill="1" applyBorder="1" applyAlignment="1">
      <alignment horizontal="center"/>
    </xf>
    <xf numFmtId="0" fontId="48" fillId="26" borderId="1" xfId="0" applyFont="1" applyFill="1" applyBorder="1" applyAlignment="1">
      <alignment horizontal="center"/>
    </xf>
    <xf numFmtId="0" fontId="48" fillId="6" borderId="1" xfId="0" applyNumberFormat="1" applyFont="1" applyFill="1" applyBorder="1" applyAlignment="1">
      <alignment horizontal="center"/>
    </xf>
    <xf numFmtId="0" fontId="48" fillId="6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 wrapText="1"/>
    </xf>
    <xf numFmtId="0" fontId="15" fillId="30" borderId="1" xfId="0" applyFont="1" applyFill="1" applyBorder="1" applyAlignment="1">
      <alignment horizontal="left"/>
    </xf>
    <xf numFmtId="0" fontId="14" fillId="30" borderId="1" xfId="0" applyFont="1" applyFill="1" applyBorder="1" applyAlignment="1">
      <alignment horizontal="center"/>
    </xf>
    <xf numFmtId="0" fontId="14" fillId="30" borderId="1" xfId="0" applyFont="1" applyFill="1" applyBorder="1" applyAlignment="1">
      <alignment horizontal="right"/>
    </xf>
    <xf numFmtId="0" fontId="50" fillId="0" borderId="1" xfId="0" applyFont="1" applyFill="1" applyBorder="1"/>
    <xf numFmtId="10" fontId="14" fillId="0" borderId="1" xfId="0" applyNumberFormat="1" applyFont="1" applyFill="1" applyBorder="1"/>
    <xf numFmtId="10" fontId="14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right" wrapText="1"/>
    </xf>
    <xf numFmtId="10" fontId="14" fillId="0" borderId="0" xfId="0" applyNumberFormat="1" applyFont="1" applyFill="1" applyBorder="1"/>
    <xf numFmtId="0" fontId="15" fillId="0" borderId="1" xfId="0" applyFont="1" applyFill="1" applyBorder="1" applyAlignment="1">
      <alignment horizontal="right"/>
    </xf>
    <xf numFmtId="0" fontId="15" fillId="0" borderId="58" xfId="0" applyFont="1" applyFill="1" applyBorder="1" applyAlignment="1">
      <alignment horizontal="right" wrapText="1"/>
    </xf>
    <xf numFmtId="0" fontId="15" fillId="0" borderId="7" xfId="0" applyFont="1" applyFill="1" applyBorder="1" applyAlignment="1">
      <alignment horizontal="right" wrapText="1"/>
    </xf>
    <xf numFmtId="0" fontId="15" fillId="0" borderId="58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right" wrapText="1"/>
    </xf>
    <xf numFmtId="0" fontId="14" fillId="0" borderId="1" xfId="0" applyNumberFormat="1" applyFont="1" applyFill="1" applyBorder="1"/>
    <xf numFmtId="0" fontId="14" fillId="0" borderId="15" xfId="0" applyNumberFormat="1" applyFont="1" applyFill="1" applyBorder="1"/>
    <xf numFmtId="0" fontId="14" fillId="35" borderId="1" xfId="0" applyFont="1" applyFill="1" applyBorder="1" applyAlignment="1">
      <alignment horizontal="right"/>
    </xf>
    <xf numFmtId="0" fontId="32" fillId="35" borderId="1" xfId="0" applyFont="1" applyFill="1" applyBorder="1" applyAlignment="1">
      <alignment horizontal="right"/>
    </xf>
    <xf numFmtId="0" fontId="17" fillId="35" borderId="1" xfId="0" applyFont="1" applyFill="1" applyBorder="1" applyAlignment="1">
      <alignment horizontal="right"/>
    </xf>
    <xf numFmtId="0" fontId="17" fillId="35" borderId="1" xfId="0" applyNumberFormat="1" applyFont="1" applyFill="1" applyBorder="1"/>
    <xf numFmtId="10" fontId="32" fillId="0" borderId="1" xfId="0" applyNumberFormat="1" applyFont="1" applyFill="1" applyBorder="1"/>
    <xf numFmtId="2" fontId="14" fillId="0" borderId="59" xfId="1" applyNumberFormat="1" applyFont="1" applyFill="1" applyBorder="1" applyAlignment="1">
      <alignment horizontal="right"/>
    </xf>
    <xf numFmtId="2" fontId="14" fillId="0" borderId="59" xfId="0" applyNumberFormat="1" applyFont="1" applyFill="1" applyBorder="1" applyAlignment="1">
      <alignment horizontal="right"/>
    </xf>
    <xf numFmtId="166" fontId="14" fillId="0" borderId="59" xfId="0" applyNumberFormat="1" applyFont="1" applyFill="1" applyBorder="1" applyAlignment="1">
      <alignment horizontal="right"/>
    </xf>
    <xf numFmtId="0" fontId="14" fillId="0" borderId="59" xfId="0" applyFont="1" applyFill="1" applyBorder="1"/>
    <xf numFmtId="0" fontId="14" fillId="0" borderId="13" xfId="0" applyFont="1" applyFill="1" applyBorder="1"/>
    <xf numFmtId="0" fontId="14" fillId="0" borderId="13" xfId="0" applyNumberFormat="1" applyFont="1" applyFill="1" applyBorder="1"/>
    <xf numFmtId="10" fontId="14" fillId="0" borderId="5" xfId="0" applyNumberFormat="1" applyFont="1" applyFill="1" applyBorder="1"/>
    <xf numFmtId="0" fontId="14" fillId="0" borderId="5" xfId="0" applyNumberFormat="1" applyFont="1" applyFill="1" applyBorder="1"/>
    <xf numFmtId="0" fontId="32" fillId="0" borderId="1" xfId="0" applyFont="1" applyFill="1" applyBorder="1" applyAlignment="1">
      <alignment horizontal="center"/>
    </xf>
    <xf numFmtId="0" fontId="32" fillId="0" borderId="0" xfId="0" applyFont="1" applyFill="1"/>
    <xf numFmtId="10" fontId="14" fillId="0" borderId="1" xfId="0" applyNumberFormat="1" applyFont="1" applyFill="1" applyBorder="1" applyAlignment="1">
      <alignment vertical="center"/>
    </xf>
    <xf numFmtId="0" fontId="47" fillId="26" borderId="1" xfId="0" applyFont="1" applyFill="1" applyBorder="1" applyAlignment="1">
      <alignment horizontal="center"/>
    </xf>
    <xf numFmtId="10" fontId="14" fillId="0" borderId="59" xfId="0" applyNumberFormat="1" applyFont="1" applyFill="1" applyBorder="1"/>
    <xf numFmtId="10" fontId="14" fillId="0" borderId="34" xfId="0" applyNumberFormat="1" applyFont="1" applyFill="1" applyBorder="1"/>
    <xf numFmtId="2" fontId="14" fillId="0" borderId="59" xfId="0" applyNumberFormat="1" applyFont="1" applyFill="1" applyBorder="1" applyAlignment="1">
      <alignment horizontal="right" shrinkToFit="1"/>
    </xf>
    <xf numFmtId="10" fontId="14" fillId="0" borderId="59" xfId="0" applyNumberFormat="1" applyFont="1" applyFill="1" applyBorder="1" applyAlignment="1">
      <alignment horizontal="right"/>
    </xf>
    <xf numFmtId="0" fontId="14" fillId="31" borderId="59" xfId="0" applyFont="1" applyFill="1" applyBorder="1" applyAlignment="1">
      <alignment horizontal="right"/>
    </xf>
    <xf numFmtId="0" fontId="32" fillId="35" borderId="59" xfId="0" applyFont="1" applyFill="1" applyBorder="1" applyAlignment="1">
      <alignment horizontal="right"/>
    </xf>
    <xf numFmtId="0" fontId="30" fillId="35" borderId="1" xfId="0" applyFont="1" applyFill="1" applyBorder="1" applyAlignment="1">
      <alignment horizontal="right"/>
    </xf>
    <xf numFmtId="0" fontId="49" fillId="35" borderId="1" xfId="0" applyFont="1" applyFill="1" applyBorder="1" applyAlignment="1">
      <alignment horizontal="right"/>
    </xf>
    <xf numFmtId="0" fontId="30" fillId="35" borderId="1" xfId="0" applyNumberFormat="1" applyFont="1" applyFill="1" applyBorder="1"/>
    <xf numFmtId="0" fontId="30" fillId="35" borderId="1" xfId="0" applyFont="1" applyFill="1" applyBorder="1" applyAlignment="1">
      <alignment horizontal="center"/>
    </xf>
    <xf numFmtId="10" fontId="32" fillId="0" borderId="59" xfId="0" applyNumberFormat="1" applyFont="1" applyFill="1" applyBorder="1"/>
    <xf numFmtId="0" fontId="32" fillId="0" borderId="1" xfId="0" applyNumberFormat="1" applyFont="1" applyFill="1" applyBorder="1"/>
    <xf numFmtId="2" fontId="14" fillId="0" borderId="59" xfId="1" applyNumberFormat="1" applyFont="1" applyFill="1" applyBorder="1" applyAlignment="1"/>
    <xf numFmtId="2" fontId="14" fillId="0" borderId="59" xfId="0" applyNumberFormat="1" applyFont="1" applyFill="1" applyBorder="1" applyAlignment="1"/>
    <xf numFmtId="0" fontId="14" fillId="0" borderId="0" xfId="0" applyFont="1" applyFill="1" applyBorder="1" applyAlignment="1">
      <alignment horizontal="left"/>
    </xf>
    <xf numFmtId="0" fontId="14" fillId="31" borderId="59" xfId="0" applyFont="1" applyFill="1" applyBorder="1"/>
    <xf numFmtId="0" fontId="14" fillId="31" borderId="59" xfId="0" applyFont="1" applyFill="1" applyBorder="1" applyAlignment="1">
      <alignment horizontal="left"/>
    </xf>
    <xf numFmtId="0" fontId="14" fillId="0" borderId="59" xfId="0" applyFont="1" applyBorder="1"/>
    <xf numFmtId="0" fontId="38" fillId="26" borderId="59" xfId="0" applyFont="1" applyFill="1" applyBorder="1"/>
    <xf numFmtId="165" fontId="15" fillId="0" borderId="3" xfId="0" applyNumberFormat="1" applyFont="1" applyFill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2" fontId="17" fillId="0" borderId="4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0" fillId="20" borderId="0" xfId="0" applyFill="1" applyAlignment="1">
      <alignment vertical="center"/>
    </xf>
    <xf numFmtId="0" fontId="14" fillId="0" borderId="1" xfId="0" applyNumberFormat="1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1" fontId="54" fillId="4" borderId="1" xfId="0" applyNumberFormat="1" applyFont="1" applyFill="1" applyBorder="1" applyAlignment="1">
      <alignment horizontal="center"/>
    </xf>
    <xf numFmtId="1" fontId="55" fillId="4" borderId="2" xfId="0" applyNumberFormat="1" applyFont="1" applyFill="1" applyBorder="1" applyAlignment="1">
      <alignment horizontal="center"/>
    </xf>
    <xf numFmtId="0" fontId="42" fillId="9" borderId="3" xfId="0" applyFont="1" applyFill="1" applyBorder="1" applyAlignment="1">
      <alignment horizontal="center" vertical="center" wrapText="1"/>
    </xf>
    <xf numFmtId="2" fontId="14" fillId="0" borderId="59" xfId="1" applyNumberFormat="1" applyFont="1" applyFill="1" applyBorder="1" applyAlignment="1">
      <alignment horizontal="right" wrapText="1"/>
    </xf>
    <xf numFmtId="2" fontId="14" fillId="0" borderId="59" xfId="0" applyNumberFormat="1" applyFont="1" applyFill="1" applyBorder="1" applyAlignment="1">
      <alignment horizontal="right" wrapText="1"/>
    </xf>
    <xf numFmtId="164" fontId="14" fillId="0" borderId="4" xfId="1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 shrinkToFit="1"/>
    </xf>
    <xf numFmtId="164" fontId="14" fillId="0" borderId="12" xfId="1" applyNumberFormat="1" applyFont="1" applyFill="1" applyBorder="1" applyAlignment="1">
      <alignment horizontal="center"/>
    </xf>
    <xf numFmtId="164" fontId="14" fillId="0" borderId="5" xfId="1" applyNumberFormat="1" applyFont="1" applyFill="1" applyBorder="1" applyAlignment="1">
      <alignment horizontal="center"/>
    </xf>
    <xf numFmtId="164" fontId="14" fillId="0" borderId="9" xfId="1" applyNumberFormat="1" applyFont="1" applyFill="1" applyBorder="1" applyAlignment="1">
      <alignment horizontal="center"/>
    </xf>
    <xf numFmtId="10" fontId="14" fillId="0" borderId="12" xfId="1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right"/>
    </xf>
    <xf numFmtId="0" fontId="15" fillId="0" borderId="34" xfId="0" applyFont="1" applyFill="1" applyBorder="1" applyAlignment="1">
      <alignment horizontal="right" wrapText="1"/>
    </xf>
    <xf numFmtId="10" fontId="17" fillId="0" borderId="1" xfId="1" applyNumberFormat="1" applyFont="1" applyFill="1" applyBorder="1" applyAlignment="1">
      <alignment vertical="top" wrapText="1" shrinkToFit="1"/>
    </xf>
    <xf numFmtId="164" fontId="17" fillId="0" borderId="1" xfId="0" applyNumberFormat="1" applyFont="1" applyFill="1" applyBorder="1" applyAlignment="1">
      <alignment vertical="top" wrapText="1" shrinkToFit="1"/>
    </xf>
    <xf numFmtId="164" fontId="17" fillId="0" borderId="59" xfId="1" applyNumberFormat="1" applyFont="1" applyFill="1" applyBorder="1" applyAlignment="1">
      <alignment horizontal="right" wrapText="1"/>
    </xf>
    <xf numFmtId="164" fontId="17" fillId="0" borderId="59" xfId="1" applyNumberFormat="1" applyFont="1" applyFill="1" applyBorder="1" applyAlignment="1">
      <alignment horizontal="right"/>
    </xf>
    <xf numFmtId="164" fontId="17" fillId="0" borderId="59" xfId="1" applyNumberFormat="1" applyFont="1" applyFill="1" applyBorder="1" applyAlignment="1">
      <alignment wrapText="1"/>
    </xf>
    <xf numFmtId="164" fontId="17" fillId="0" borderId="59" xfId="1" applyNumberFormat="1" applyFont="1" applyFill="1" applyBorder="1" applyAlignment="1"/>
    <xf numFmtId="164" fontId="17" fillId="0" borderId="59" xfId="1" applyNumberFormat="1" applyFont="1" applyFill="1" applyBorder="1" applyAlignment="1">
      <alignment vertical="center" wrapText="1"/>
    </xf>
    <xf numFmtId="164" fontId="17" fillId="35" borderId="59" xfId="1" applyNumberFormat="1" applyFont="1" applyFill="1" applyBorder="1" applyAlignment="1"/>
    <xf numFmtId="164" fontId="17" fillId="0" borderId="13" xfId="1" applyNumberFormat="1" applyFont="1" applyFill="1" applyBorder="1" applyAlignment="1"/>
    <xf numFmtId="164" fontId="17" fillId="0" borderId="5" xfId="1" applyNumberFormat="1" applyFont="1" applyFill="1" applyBorder="1" applyAlignment="1">
      <alignment wrapText="1"/>
    </xf>
    <xf numFmtId="164" fontId="30" fillId="35" borderId="59" xfId="1" applyNumberFormat="1" applyFont="1" applyFill="1" applyBorder="1" applyAlignment="1">
      <alignment horizontal="right"/>
    </xf>
    <xf numFmtId="164" fontId="30" fillId="0" borderId="59" xfId="1" applyNumberFormat="1" applyFont="1" applyFill="1" applyBorder="1" applyAlignment="1">
      <alignment horizontal="right"/>
    </xf>
    <xf numFmtId="0" fontId="56" fillId="0" borderId="0" xfId="0" applyFont="1"/>
    <xf numFmtId="0" fontId="56" fillId="23" borderId="0" xfId="0" applyFont="1" applyFill="1" applyAlignment="1">
      <alignment horizontal="center"/>
    </xf>
    <xf numFmtId="0" fontId="60" fillId="24" borderId="61" xfId="0" applyFont="1" applyFill="1" applyBorder="1" applyAlignment="1">
      <alignment horizontal="center" vertical="center" wrapText="1" shrinkToFit="1"/>
    </xf>
    <xf numFmtId="0" fontId="59" fillId="38" borderId="61" xfId="0" applyFont="1" applyFill="1" applyBorder="1" applyAlignment="1">
      <alignment horizontal="center" vertical="center" wrapText="1" shrinkToFit="1"/>
    </xf>
    <xf numFmtId="0" fontId="56" fillId="24" borderId="61" xfId="0" applyFont="1" applyFill="1" applyBorder="1"/>
    <xf numFmtId="0" fontId="61" fillId="3" borderId="61" xfId="0" applyFont="1" applyFill="1" applyBorder="1" applyAlignment="1">
      <alignment horizontal="center" vertical="center" wrapText="1"/>
    </xf>
    <xf numFmtId="0" fontId="62" fillId="3" borderId="61" xfId="0" applyFont="1" applyFill="1" applyBorder="1" applyAlignment="1">
      <alignment horizontal="center" vertical="center" wrapText="1"/>
    </xf>
    <xf numFmtId="164" fontId="33" fillId="0" borderId="0" xfId="0" applyNumberFormat="1" applyFont="1"/>
    <xf numFmtId="0" fontId="17" fillId="0" borderId="62" xfId="0" applyFont="1" applyFill="1" applyBorder="1" applyAlignment="1">
      <alignment vertical="top" wrapText="1" shrinkToFit="1"/>
    </xf>
    <xf numFmtId="10" fontId="14" fillId="0" borderId="61" xfId="1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wrapText="1"/>
    </xf>
    <xf numFmtId="164" fontId="14" fillId="0" borderId="1" xfId="1" applyNumberFormat="1" applyFont="1" applyFill="1" applyBorder="1" applyAlignment="1">
      <alignment horizontal="center" vertical="center"/>
    </xf>
    <xf numFmtId="165" fontId="17" fillId="0" borderId="3" xfId="0" applyNumberFormat="1" applyFont="1" applyFill="1" applyBorder="1" applyAlignment="1">
      <alignment horizontal="center" vertical="center"/>
    </xf>
    <xf numFmtId="164" fontId="15" fillId="0" borderId="2" xfId="1" applyNumberFormat="1" applyFont="1" applyFill="1" applyBorder="1" applyAlignment="1">
      <alignment horizontal="center"/>
    </xf>
    <xf numFmtId="164" fontId="15" fillId="0" borderId="2" xfId="1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right"/>
    </xf>
    <xf numFmtId="164" fontId="14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0" xfId="0" applyFill="1" applyBorder="1"/>
    <xf numFmtId="0" fontId="16" fillId="0" borderId="0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right"/>
    </xf>
    <xf numFmtId="1" fontId="14" fillId="0" borderId="63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left" shrinkToFit="1"/>
    </xf>
    <xf numFmtId="10" fontId="14" fillId="0" borderId="0" xfId="1" applyNumberFormat="1" applyFont="1" applyFill="1"/>
    <xf numFmtId="0" fontId="0" fillId="0" borderId="0" xfId="0" applyFont="1"/>
    <xf numFmtId="0" fontId="0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10" fontId="14" fillId="35" borderId="0" xfId="1" applyNumberFormat="1" applyFont="1" applyFill="1"/>
    <xf numFmtId="165" fontId="17" fillId="0" borderId="56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wrapText="1"/>
    </xf>
    <xf numFmtId="165" fontId="14" fillId="0" borderId="10" xfId="0" applyNumberFormat="1" applyFont="1" applyFill="1" applyBorder="1" applyAlignment="1">
      <alignment horizontal="center"/>
    </xf>
    <xf numFmtId="165" fontId="15" fillId="0" borderId="56" xfId="0" applyNumberFormat="1" applyFont="1" applyFill="1" applyBorder="1" applyAlignment="1">
      <alignment horizontal="center"/>
    </xf>
    <xf numFmtId="0" fontId="0" fillId="0" borderId="0" xfId="0" applyFill="1" applyAlignment="1">
      <alignment shrinkToFit="1"/>
    </xf>
    <xf numFmtId="1" fontId="14" fillId="0" borderId="63" xfId="0" applyNumberFormat="1" applyFont="1" applyFill="1" applyBorder="1" applyAlignment="1">
      <alignment horizontal="center" vertical="center"/>
    </xf>
    <xf numFmtId="0" fontId="0" fillId="30" borderId="0" xfId="0" applyFont="1" applyFill="1"/>
    <xf numFmtId="0" fontId="0" fillId="30" borderId="0" xfId="0" applyFont="1" applyFill="1" applyAlignment="1">
      <alignment horizontal="center"/>
    </xf>
    <xf numFmtId="0" fontId="0" fillId="0" borderId="0" xfId="0" applyFont="1" applyAlignment="1">
      <alignment shrinkToFit="1"/>
    </xf>
    <xf numFmtId="0" fontId="10" fillId="0" borderId="1" xfId="0" applyFont="1" applyBorder="1" applyAlignment="1">
      <alignment horizontal="center" vertical="center" wrapText="1" shrinkToFit="1"/>
    </xf>
    <xf numFmtId="0" fontId="50" fillId="35" borderId="0" xfId="0" applyFont="1" applyFill="1"/>
    <xf numFmtId="0" fontId="50" fillId="35" borderId="0" xfId="0" applyFont="1" applyFill="1" applyAlignment="1">
      <alignment horizontal="center"/>
    </xf>
    <xf numFmtId="1" fontId="50" fillId="35" borderId="0" xfId="0" applyNumberFormat="1" applyFont="1" applyFill="1"/>
    <xf numFmtId="0" fontId="50" fillId="0" borderId="0" xfId="0" applyFont="1" applyFill="1"/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right"/>
    </xf>
    <xf numFmtId="1" fontId="50" fillId="0" borderId="0" xfId="0" applyNumberFormat="1" applyFont="1" applyFill="1"/>
    <xf numFmtId="0" fontId="50" fillId="0" borderId="0" xfId="0" applyFont="1"/>
    <xf numFmtId="0" fontId="50" fillId="0" borderId="0" xfId="0" applyFont="1" applyFill="1" applyAlignment="1">
      <alignment horizontal="center" shrinkToFit="1"/>
    </xf>
    <xf numFmtId="0" fontId="63" fillId="0" borderId="0" xfId="0" applyFont="1" applyFill="1" applyBorder="1"/>
    <xf numFmtId="0" fontId="50" fillId="0" borderId="0" xfId="0" applyFont="1" applyAlignment="1">
      <alignment horizontal="center" shrinkToFit="1"/>
    </xf>
    <xf numFmtId="1" fontId="14" fillId="0" borderId="1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65" fontId="14" fillId="0" borderId="0" xfId="0" applyNumberFormat="1" applyFont="1" applyFill="1"/>
    <xf numFmtId="165" fontId="0" fillId="0" borderId="0" xfId="0" applyNumberFormat="1" applyBorder="1"/>
    <xf numFmtId="2" fontId="14" fillId="0" borderId="57" xfId="0" applyNumberFormat="1" applyFont="1" applyFill="1" applyBorder="1" applyAlignment="1">
      <alignment horizontal="center" vertical="center"/>
    </xf>
    <xf numFmtId="2" fontId="14" fillId="0" borderId="57" xfId="0" applyNumberFormat="1" applyFont="1" applyFill="1" applyBorder="1" applyAlignment="1">
      <alignment horizontal="center" shrinkToFit="1"/>
    </xf>
    <xf numFmtId="2" fontId="17" fillId="0" borderId="57" xfId="0" applyNumberFormat="1" applyFont="1" applyFill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2" fontId="14" fillId="0" borderId="57" xfId="0" applyNumberFormat="1" applyFont="1" applyFill="1" applyBorder="1" applyAlignment="1">
      <alignment horizontal="center"/>
    </xf>
    <xf numFmtId="2" fontId="14" fillId="0" borderId="57" xfId="0" applyNumberFormat="1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right"/>
    </xf>
    <xf numFmtId="164" fontId="14" fillId="0" borderId="2" xfId="0" applyNumberFormat="1" applyFont="1" applyFill="1" applyBorder="1" applyAlignment="1">
      <alignment vertical="center"/>
    </xf>
    <xf numFmtId="165" fontId="14" fillId="0" borderId="63" xfId="0" applyNumberFormat="1" applyFont="1" applyFill="1" applyBorder="1" applyAlignment="1">
      <alignment vertical="center"/>
    </xf>
    <xf numFmtId="0" fontId="32" fillId="0" borderId="0" xfId="0" applyFont="1"/>
    <xf numFmtId="0" fontId="14" fillId="0" borderId="0" xfId="0" applyFont="1" applyAlignment="1">
      <alignment horizontal="right"/>
    </xf>
    <xf numFmtId="165" fontId="14" fillId="0" borderId="0" xfId="0" applyNumberFormat="1" applyFont="1"/>
    <xf numFmtId="164" fontId="14" fillId="0" borderId="0" xfId="0" applyNumberFormat="1" applyFont="1"/>
    <xf numFmtId="10" fontId="14" fillId="0" borderId="61" xfId="16" applyNumberFormat="1" applyFont="1" applyBorder="1" applyAlignment="1">
      <alignment vertical="center"/>
    </xf>
    <xf numFmtId="164" fontId="14" fillId="0" borderId="2" xfId="0" applyNumberFormat="1" applyFont="1" applyFill="1" applyBorder="1" applyAlignment="1">
      <alignment horizontal="center" shrinkToFit="1"/>
    </xf>
    <xf numFmtId="164" fontId="17" fillId="0" borderId="34" xfId="0" applyNumberFormat="1" applyFont="1" applyFill="1" applyBorder="1" applyAlignment="1">
      <alignment horizontal="center" shrinkToFit="1"/>
    </xf>
    <xf numFmtId="165" fontId="14" fillId="0" borderId="37" xfId="0" applyNumberFormat="1" applyFont="1" applyBorder="1" applyAlignment="1">
      <alignment horizontal="center" shrinkToFit="1"/>
    </xf>
    <xf numFmtId="1" fontId="14" fillId="0" borderId="0" xfId="1" applyNumberFormat="1" applyFont="1" applyFill="1" applyAlignment="1">
      <alignment horizontal="center"/>
    </xf>
    <xf numFmtId="10" fontId="14" fillId="0" borderId="0" xfId="0" applyNumberFormat="1" applyFont="1" applyFill="1"/>
    <xf numFmtId="0" fontId="39" fillId="0" borderId="0" xfId="0" applyFont="1" applyFill="1" applyAlignment="1">
      <alignment horizontal="center"/>
    </xf>
    <xf numFmtId="0" fontId="39" fillId="0" borderId="0" xfId="0" applyFont="1"/>
    <xf numFmtId="10" fontId="34" fillId="0" borderId="0" xfId="1" applyNumberFormat="1" applyFont="1" applyAlignment="1">
      <alignment horizontal="center"/>
    </xf>
    <xf numFmtId="0" fontId="34" fillId="0" borderId="0" xfId="0" applyFont="1"/>
    <xf numFmtId="10" fontId="34" fillId="0" borderId="0" xfId="1" applyNumberFormat="1" applyFont="1" applyFill="1" applyAlignment="1">
      <alignment horizontal="center"/>
    </xf>
    <xf numFmtId="164" fontId="14" fillId="0" borderId="36" xfId="0" applyNumberFormat="1" applyFont="1" applyFill="1" applyBorder="1" applyAlignment="1">
      <alignment horizontal="center"/>
    </xf>
    <xf numFmtId="165" fontId="14" fillId="0" borderId="59" xfId="0" applyNumberFormat="1" applyFont="1" applyBorder="1" applyAlignment="1">
      <alignment horizontal="center" shrinkToFit="1"/>
    </xf>
    <xf numFmtId="0" fontId="32" fillId="35" borderId="0" xfId="0" applyFont="1" applyFill="1" applyAlignment="1">
      <alignment horizontal="center"/>
    </xf>
    <xf numFmtId="10" fontId="30" fillId="35" borderId="13" xfId="0" applyNumberFormat="1" applyFont="1" applyFill="1" applyBorder="1" applyAlignment="1">
      <alignment horizontal="center"/>
    </xf>
    <xf numFmtId="2" fontId="14" fillId="35" borderId="0" xfId="0" applyNumberFormat="1" applyFont="1" applyFill="1" applyAlignment="1">
      <alignment horizontal="center"/>
    </xf>
    <xf numFmtId="10" fontId="32" fillId="35" borderId="1" xfId="1" applyNumberFormat="1" applyFont="1" applyFill="1" applyBorder="1" applyAlignment="1">
      <alignment horizontal="center"/>
    </xf>
    <xf numFmtId="0" fontId="34" fillId="35" borderId="4" xfId="0" applyFont="1" applyFill="1" applyBorder="1" applyAlignment="1">
      <alignment horizontal="center"/>
    </xf>
    <xf numFmtId="10" fontId="32" fillId="0" borderId="0" xfId="0" applyNumberFormat="1" applyFont="1" applyBorder="1" applyAlignment="1">
      <alignment horizontal="center"/>
    </xf>
    <xf numFmtId="2" fontId="18" fillId="0" borderId="0" xfId="0" applyNumberFormat="1" applyFont="1" applyFill="1"/>
    <xf numFmtId="10" fontId="32" fillId="0" borderId="0" xfId="1" applyNumberFormat="1" applyFont="1" applyAlignment="1">
      <alignment horizontal="center"/>
    </xf>
    <xf numFmtId="0" fontId="64" fillId="0" borderId="0" xfId="0" applyFont="1"/>
    <xf numFmtId="164" fontId="14" fillId="0" borderId="36" xfId="0" applyNumberFormat="1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164" fontId="14" fillId="0" borderId="0" xfId="0" applyNumberFormat="1" applyFont="1" applyFill="1" applyAlignment="1">
      <alignment horizontal="center"/>
    </xf>
    <xf numFmtId="164" fontId="14" fillId="0" borderId="1" xfId="0" applyNumberFormat="1" applyFont="1" applyFill="1" applyBorder="1" applyAlignment="1">
      <alignment horizontal="right"/>
    </xf>
    <xf numFmtId="0" fontId="49" fillId="0" borderId="1" xfId="0" applyFont="1" applyFill="1" applyBorder="1" applyAlignment="1">
      <alignment horizontal="right"/>
    </xf>
    <xf numFmtId="164" fontId="17" fillId="0" borderId="1" xfId="0" applyNumberFormat="1" applyFont="1" applyFill="1" applyBorder="1" applyAlignment="1">
      <alignment horizontal="right" wrapText="1"/>
    </xf>
    <xf numFmtId="0" fontId="17" fillId="0" borderId="1" xfId="0" applyFont="1" applyFill="1" applyBorder="1" applyAlignment="1">
      <alignment horizontal="right" wrapText="1"/>
    </xf>
    <xf numFmtId="0" fontId="17" fillId="0" borderId="1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17" fillId="0" borderId="13" xfId="0" applyFont="1" applyFill="1" applyBorder="1" applyAlignment="1">
      <alignment horizontal="right"/>
    </xf>
    <xf numFmtId="0" fontId="17" fillId="0" borderId="5" xfId="0" applyFont="1" applyFill="1" applyBorder="1" applyAlignment="1">
      <alignment horizontal="right" wrapText="1"/>
    </xf>
    <xf numFmtId="2" fontId="15" fillId="0" borderId="59" xfId="2" applyNumberFormat="1" applyFont="1" applyFill="1" applyBorder="1" applyAlignment="1">
      <alignment horizontal="right" shrinkToFit="1"/>
    </xf>
    <xf numFmtId="2" fontId="17" fillId="0" borderId="59" xfId="2" applyNumberFormat="1" applyFont="1" applyFill="1" applyBorder="1" applyAlignment="1">
      <alignment horizontal="right" shrinkToFit="1"/>
    </xf>
    <xf numFmtId="2" fontId="14" fillId="0" borderId="61" xfId="0" applyNumberFormat="1" applyFont="1" applyBorder="1" applyAlignment="1">
      <alignment horizontal="right"/>
    </xf>
    <xf numFmtId="2" fontId="14" fillId="0" borderId="61" xfId="0" applyNumberFormat="1" applyFont="1" applyBorder="1" applyAlignment="1">
      <alignment horizontal="right" shrinkToFit="1"/>
    </xf>
    <xf numFmtId="2" fontId="17" fillId="0" borderId="59" xfId="3" applyNumberFormat="1" applyFont="1" applyFill="1" applyBorder="1" applyAlignment="1">
      <alignment horizontal="right" shrinkToFit="1"/>
    </xf>
    <xf numFmtId="2" fontId="17" fillId="0" borderId="59" xfId="0" applyNumberFormat="1" applyFont="1" applyFill="1" applyBorder="1" applyAlignment="1">
      <alignment horizontal="right" shrinkToFit="1"/>
    </xf>
    <xf numFmtId="2" fontId="32" fillId="35" borderId="59" xfId="0" applyNumberFormat="1" applyFont="1" applyFill="1" applyBorder="1" applyAlignment="1">
      <alignment horizontal="right"/>
    </xf>
    <xf numFmtId="166" fontId="32" fillId="35" borderId="59" xfId="0" applyNumberFormat="1" applyFont="1" applyFill="1" applyBorder="1" applyAlignment="1">
      <alignment horizontal="right"/>
    </xf>
    <xf numFmtId="2" fontId="32" fillId="0" borderId="59" xfId="0" applyNumberFormat="1" applyFont="1" applyFill="1" applyBorder="1" applyAlignment="1">
      <alignment horizontal="right"/>
    </xf>
    <xf numFmtId="166" fontId="32" fillId="0" borderId="59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right"/>
    </xf>
    <xf numFmtId="2" fontId="14" fillId="0" borderId="1" xfId="1" applyNumberFormat="1" applyFont="1" applyFill="1" applyBorder="1" applyAlignment="1"/>
    <xf numFmtId="2" fontId="14" fillId="0" borderId="1" xfId="0" applyNumberFormat="1" applyFont="1" applyFill="1" applyBorder="1" applyAlignment="1"/>
    <xf numFmtId="2" fontId="14" fillId="0" borderId="35" xfId="0" applyNumberFormat="1" applyFont="1" applyFill="1" applyBorder="1" applyAlignment="1"/>
    <xf numFmtId="2" fontId="14" fillId="0" borderId="37" xfId="0" applyNumberFormat="1" applyFont="1" applyFill="1" applyBorder="1" applyAlignment="1"/>
    <xf numFmtId="2" fontId="15" fillId="0" borderId="37" xfId="2" applyNumberFormat="1" applyFont="1" applyFill="1" applyBorder="1" applyAlignment="1">
      <alignment shrinkToFit="1"/>
    </xf>
    <xf numFmtId="2" fontId="15" fillId="0" borderId="54" xfId="2" applyNumberFormat="1" applyFont="1" applyFill="1" applyBorder="1" applyAlignment="1">
      <alignment shrinkToFit="1"/>
    </xf>
    <xf numFmtId="2" fontId="17" fillId="0" borderId="60" xfId="2" applyNumberFormat="1" applyFont="1" applyFill="1" applyBorder="1" applyAlignment="1">
      <alignment shrinkToFit="1"/>
    </xf>
    <xf numFmtId="10" fontId="14" fillId="0" borderId="1" xfId="0" applyNumberFormat="1" applyFont="1" applyFill="1" applyBorder="1" applyAlignment="1"/>
    <xf numFmtId="1" fontId="17" fillId="0" borderId="1" xfId="0" applyNumberFormat="1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164" fontId="15" fillId="0" borderId="1" xfId="0" applyNumberFormat="1" applyFont="1" applyFill="1" applyBorder="1" applyAlignment="1"/>
    <xf numFmtId="0" fontId="14" fillId="0" borderId="1" xfId="0" applyNumberFormat="1" applyFont="1" applyFill="1" applyBorder="1" applyAlignment="1"/>
    <xf numFmtId="0" fontId="14" fillId="0" borderId="1" xfId="0" applyFont="1" applyFill="1" applyBorder="1" applyAlignment="1"/>
    <xf numFmtId="165" fontId="14" fillId="0" borderId="63" xfId="0" applyNumberFormat="1" applyFont="1" applyFill="1" applyBorder="1" applyAlignment="1"/>
    <xf numFmtId="164" fontId="14" fillId="0" borderId="2" xfId="0" applyNumberFormat="1" applyFont="1" applyFill="1" applyBorder="1" applyAlignment="1"/>
    <xf numFmtId="2" fontId="15" fillId="0" borderId="55" xfId="2" applyNumberFormat="1" applyFont="1" applyFill="1" applyBorder="1" applyAlignment="1">
      <alignment shrinkToFit="1"/>
    </xf>
    <xf numFmtId="2" fontId="17" fillId="0" borderId="37" xfId="2" applyNumberFormat="1" applyFont="1" applyFill="1" applyBorder="1" applyAlignment="1">
      <alignment shrinkToFit="1"/>
    </xf>
    <xf numFmtId="2" fontId="17" fillId="0" borderId="55" xfId="2" applyNumberFormat="1" applyFont="1" applyFill="1" applyBorder="1" applyAlignment="1">
      <alignment shrinkToFit="1"/>
    </xf>
    <xf numFmtId="2" fontId="14" fillId="0" borderId="38" xfId="0" applyNumberFormat="1" applyFont="1" applyFill="1" applyBorder="1" applyAlignment="1"/>
    <xf numFmtId="10" fontId="14" fillId="0" borderId="0" xfId="0" applyNumberFormat="1" applyFont="1" applyFill="1" applyBorder="1" applyAlignment="1"/>
    <xf numFmtId="2" fontId="14" fillId="0" borderId="1" xfId="1" applyNumberFormat="1" applyFont="1" applyFill="1" applyBorder="1" applyAlignment="1">
      <alignment vertical="center"/>
    </xf>
    <xf numFmtId="2" fontId="14" fillId="0" borderId="1" xfId="0" applyNumberFormat="1" applyFont="1" applyFill="1" applyBorder="1" applyAlignment="1">
      <alignment vertical="center"/>
    </xf>
    <xf numFmtId="2" fontId="14" fillId="0" borderId="50" xfId="0" applyNumberFormat="1" applyFont="1" applyFill="1" applyBorder="1" applyAlignment="1">
      <alignment vertical="center"/>
    </xf>
    <xf numFmtId="2" fontId="14" fillId="0" borderId="37" xfId="0" applyNumberFormat="1" applyFont="1" applyFill="1" applyBorder="1" applyAlignment="1">
      <alignment vertical="center"/>
    </xf>
    <xf numFmtId="2" fontId="17" fillId="0" borderId="37" xfId="2" applyNumberFormat="1" applyFont="1" applyFill="1" applyBorder="1" applyAlignment="1">
      <alignment vertical="center" shrinkToFit="1"/>
    </xf>
    <xf numFmtId="2" fontId="17" fillId="0" borderId="55" xfId="2" applyNumberFormat="1" applyFont="1" applyFill="1" applyBorder="1" applyAlignment="1">
      <alignment vertical="center" shrinkToFit="1"/>
    </xf>
    <xf numFmtId="2" fontId="17" fillId="0" borderId="60" xfId="2" applyNumberFormat="1" applyFont="1" applyFill="1" applyBorder="1" applyAlignment="1">
      <alignment vertical="center" shrinkToFit="1"/>
    </xf>
    <xf numFmtId="1" fontId="17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vertical="center"/>
    </xf>
    <xf numFmtId="2" fontId="14" fillId="0" borderId="39" xfId="0" applyNumberFormat="1" applyFont="1" applyFill="1" applyBorder="1" applyAlignment="1"/>
    <xf numFmtId="2" fontId="14" fillId="0" borderId="40" xfId="0" applyNumberFormat="1" applyFont="1" applyFill="1" applyBorder="1" applyAlignment="1"/>
    <xf numFmtId="2" fontId="17" fillId="0" borderId="37" xfId="3" applyNumberFormat="1" applyFont="1" applyFill="1" applyBorder="1" applyAlignment="1">
      <alignment shrinkToFit="1"/>
    </xf>
    <xf numFmtId="2" fontId="17" fillId="0" borderId="2" xfId="3" applyNumberFormat="1" applyFont="1" applyFill="1" applyBorder="1" applyAlignment="1">
      <alignment shrinkToFit="1"/>
    </xf>
    <xf numFmtId="2" fontId="17" fillId="0" borderId="60" xfId="3" applyNumberFormat="1" applyFont="1" applyFill="1" applyBorder="1" applyAlignment="1">
      <alignment shrinkToFit="1"/>
    </xf>
    <xf numFmtId="1" fontId="17" fillId="0" borderId="1" xfId="0" applyNumberFormat="1" applyFont="1" applyFill="1" applyBorder="1" applyAlignment="1"/>
    <xf numFmtId="0" fontId="15" fillId="0" borderId="1" xfId="0" applyFont="1" applyFill="1" applyBorder="1" applyAlignment="1"/>
    <xf numFmtId="2" fontId="14" fillId="0" borderId="50" xfId="0" applyNumberFormat="1" applyFont="1" applyFill="1" applyBorder="1" applyAlignment="1"/>
    <xf numFmtId="2" fontId="14" fillId="0" borderId="41" xfId="0" applyNumberFormat="1" applyFont="1" applyFill="1" applyBorder="1" applyAlignment="1"/>
    <xf numFmtId="2" fontId="14" fillId="0" borderId="51" xfId="0" applyNumberFormat="1" applyFont="1" applyFill="1" applyBorder="1" applyAlignment="1"/>
    <xf numFmtId="2" fontId="14" fillId="0" borderId="42" xfId="0" applyNumberFormat="1" applyFont="1" applyFill="1" applyBorder="1" applyAlignment="1"/>
    <xf numFmtId="2" fontId="17" fillId="0" borderId="0" xfId="0" applyNumberFormat="1" applyFont="1" applyFill="1" applyAlignment="1">
      <alignment shrinkToFit="1"/>
    </xf>
    <xf numFmtId="1" fontId="17" fillId="0" borderId="57" xfId="0" applyNumberFormat="1" applyFont="1" applyFill="1" applyBorder="1" applyAlignment="1">
      <alignment wrapText="1"/>
    </xf>
    <xf numFmtId="0" fontId="15" fillId="0" borderId="58" xfId="0" applyFont="1" applyFill="1" applyBorder="1" applyAlignment="1">
      <alignment wrapText="1"/>
    </xf>
    <xf numFmtId="0" fontId="15" fillId="0" borderId="7" xfId="0" applyFont="1" applyFill="1" applyBorder="1" applyAlignment="1">
      <alignment wrapText="1"/>
    </xf>
    <xf numFmtId="0" fontId="14" fillId="0" borderId="15" xfId="0" applyNumberFormat="1" applyFont="1" applyFill="1" applyBorder="1" applyAlignment="1"/>
    <xf numFmtId="1" fontId="17" fillId="0" borderId="0" xfId="0" applyNumberFormat="1" applyFont="1" applyFill="1" applyAlignment="1"/>
    <xf numFmtId="0" fontId="14" fillId="0" borderId="58" xfId="0" applyFont="1" applyFill="1" applyBorder="1" applyAlignment="1"/>
    <xf numFmtId="2" fontId="14" fillId="0" borderId="43" xfId="0" applyNumberFormat="1" applyFont="1" applyFill="1" applyBorder="1" applyAlignment="1"/>
    <xf numFmtId="1" fontId="17" fillId="0" borderId="57" xfId="0" applyNumberFormat="1" applyFont="1" applyFill="1" applyBorder="1" applyAlignment="1"/>
    <xf numFmtId="0" fontId="14" fillId="0" borderId="0" xfId="0" applyFont="1" applyFill="1" applyAlignment="1"/>
    <xf numFmtId="2" fontId="14" fillId="0" borderId="44" xfId="0" applyNumberFormat="1" applyFont="1" applyFill="1" applyBorder="1" applyAlignment="1"/>
    <xf numFmtId="0" fontId="15" fillId="0" borderId="58" xfId="0" applyFont="1" applyFill="1" applyBorder="1" applyAlignment="1"/>
    <xf numFmtId="2" fontId="14" fillId="0" borderId="45" xfId="0" applyNumberFormat="1" applyFont="1" applyFill="1" applyBorder="1" applyAlignment="1"/>
    <xf numFmtId="2" fontId="14" fillId="0" borderId="51" xfId="0" applyNumberFormat="1" applyFont="1" applyFill="1" applyBorder="1" applyAlignment="1">
      <alignment vertical="center"/>
    </xf>
    <xf numFmtId="2" fontId="17" fillId="0" borderId="37" xfId="3" applyNumberFormat="1" applyFont="1" applyFill="1" applyBorder="1" applyAlignment="1">
      <alignment vertical="center" shrinkToFit="1"/>
    </xf>
    <xf numFmtId="2" fontId="17" fillId="0" borderId="2" xfId="3" applyNumberFormat="1" applyFont="1" applyFill="1" applyBorder="1" applyAlignment="1">
      <alignment vertical="center" shrinkToFit="1"/>
    </xf>
    <xf numFmtId="2" fontId="17" fillId="0" borderId="60" xfId="3" applyNumberFormat="1" applyFont="1" applyFill="1" applyBorder="1" applyAlignment="1">
      <alignment vertical="center" shrinkToFit="1"/>
    </xf>
    <xf numFmtId="1" fontId="17" fillId="0" borderId="57" xfId="0" applyNumberFormat="1" applyFont="1" applyFill="1" applyBorder="1" applyAlignment="1">
      <alignment vertical="center" wrapText="1"/>
    </xf>
    <xf numFmtId="0" fontId="15" fillId="0" borderId="58" xfId="0" applyFont="1" applyFill="1" applyBorder="1" applyAlignment="1">
      <alignment vertical="center" wrapText="1"/>
    </xf>
    <xf numFmtId="2" fontId="14" fillId="0" borderId="52" xfId="0" applyNumberFormat="1" applyFont="1" applyFill="1" applyBorder="1" applyAlignment="1"/>
    <xf numFmtId="2" fontId="17" fillId="0" borderId="2" xfId="2" applyNumberFormat="1" applyFont="1" applyFill="1" applyBorder="1" applyAlignment="1">
      <alignment shrinkToFit="1"/>
    </xf>
    <xf numFmtId="2" fontId="14" fillId="0" borderId="53" xfId="0" applyNumberFormat="1" applyFont="1" applyFill="1" applyBorder="1" applyAlignment="1"/>
    <xf numFmtId="2" fontId="14" fillId="0" borderId="52" xfId="0" applyNumberFormat="1" applyFont="1" applyFill="1" applyBorder="1" applyAlignment="1">
      <alignment vertical="center"/>
    </xf>
    <xf numFmtId="2" fontId="17" fillId="0" borderId="37" xfId="0" applyNumberFormat="1" applyFont="1" applyFill="1" applyBorder="1" applyAlignment="1">
      <alignment vertical="center"/>
    </xf>
    <xf numFmtId="2" fontId="14" fillId="0" borderId="0" xfId="0" applyNumberFormat="1" applyFont="1" applyFill="1" applyAlignment="1">
      <alignment vertical="center" shrinkToFit="1"/>
    </xf>
    <xf numFmtId="2" fontId="14" fillId="0" borderId="62" xfId="0" applyNumberFormat="1" applyFont="1" applyFill="1" applyBorder="1" applyAlignment="1">
      <alignment vertical="center" shrinkToFit="1"/>
    </xf>
    <xf numFmtId="2" fontId="14" fillId="0" borderId="46" xfId="0" applyNumberFormat="1" applyFont="1" applyFill="1" applyBorder="1" applyAlignment="1"/>
    <xf numFmtId="2" fontId="17" fillId="0" borderId="63" xfId="0" applyNumberFormat="1" applyFont="1" applyFill="1" applyBorder="1" applyAlignment="1"/>
    <xf numFmtId="2" fontId="14" fillId="0" borderId="63" xfId="0" applyNumberFormat="1" applyFont="1" applyFill="1" applyBorder="1" applyAlignment="1">
      <alignment shrinkToFit="1"/>
    </xf>
    <xf numFmtId="2" fontId="14" fillId="0" borderId="17" xfId="0" applyNumberFormat="1" applyFont="1" applyFill="1" applyBorder="1" applyAlignment="1"/>
    <xf numFmtId="2" fontId="14" fillId="0" borderId="16" xfId="0" applyNumberFormat="1" applyFont="1" applyFill="1" applyBorder="1" applyAlignment="1"/>
    <xf numFmtId="2" fontId="14" fillId="0" borderId="19" xfId="0" applyNumberFormat="1" applyFont="1" applyFill="1" applyBorder="1" applyAlignment="1"/>
    <xf numFmtId="2" fontId="14" fillId="0" borderId="18" xfId="0" applyNumberFormat="1" applyFont="1" applyFill="1" applyBorder="1" applyAlignment="1"/>
    <xf numFmtId="2" fontId="14" fillId="0" borderId="21" xfId="0" applyNumberFormat="1" applyFont="1" applyFill="1" applyBorder="1" applyAlignment="1"/>
    <xf numFmtId="2" fontId="14" fillId="0" borderId="20" xfId="0" applyNumberFormat="1" applyFont="1" applyFill="1" applyBorder="1" applyAlignment="1"/>
    <xf numFmtId="2" fontId="14" fillId="0" borderId="23" xfId="0" applyNumberFormat="1" applyFont="1" applyFill="1" applyBorder="1" applyAlignment="1"/>
    <xf numFmtId="2" fontId="14" fillId="0" borderId="22" xfId="0" applyNumberFormat="1" applyFont="1" applyFill="1" applyBorder="1" applyAlignment="1"/>
    <xf numFmtId="2" fontId="14" fillId="0" borderId="25" xfId="0" applyNumberFormat="1" applyFont="1" applyFill="1" applyBorder="1" applyAlignment="1"/>
    <xf numFmtId="2" fontId="14" fillId="0" borderId="24" xfId="0" applyNumberFormat="1" applyFont="1" applyFill="1" applyBorder="1" applyAlignment="1"/>
    <xf numFmtId="2" fontId="14" fillId="0" borderId="27" xfId="0" applyNumberFormat="1" applyFont="1" applyFill="1" applyBorder="1" applyAlignment="1"/>
    <xf numFmtId="2" fontId="14" fillId="0" borderId="26" xfId="0" applyNumberFormat="1" applyFont="1" applyFill="1" applyBorder="1" applyAlignment="1"/>
    <xf numFmtId="2" fontId="14" fillId="0" borderId="29" xfId="0" applyNumberFormat="1" applyFont="1" applyFill="1" applyBorder="1" applyAlignment="1"/>
    <xf numFmtId="2" fontId="14" fillId="0" borderId="28" xfId="0" applyNumberFormat="1" applyFont="1" applyFill="1" applyBorder="1" applyAlignment="1"/>
    <xf numFmtId="2" fontId="14" fillId="0" borderId="31" xfId="0" applyNumberFormat="1" applyFont="1" applyFill="1" applyBorder="1" applyAlignment="1"/>
    <xf numFmtId="2" fontId="14" fillId="0" borderId="30" xfId="0" applyNumberFormat="1" applyFont="1" applyFill="1" applyBorder="1" applyAlignment="1"/>
    <xf numFmtId="2" fontId="14" fillId="0" borderId="33" xfId="0" applyNumberFormat="1" applyFont="1" applyFill="1" applyBorder="1" applyAlignment="1"/>
    <xf numFmtId="2" fontId="14" fillId="0" borderId="32" xfId="0" applyNumberFormat="1" applyFont="1" applyFill="1" applyBorder="1" applyAlignment="1"/>
    <xf numFmtId="166" fontId="14" fillId="35" borderId="1" xfId="1" applyNumberFormat="1" applyFont="1" applyFill="1" applyBorder="1" applyAlignment="1"/>
    <xf numFmtId="0" fontId="14" fillId="35" borderId="1" xfId="0" applyFont="1" applyFill="1" applyBorder="1" applyAlignment="1"/>
    <xf numFmtId="2" fontId="14" fillId="35" borderId="1" xfId="0" applyNumberFormat="1" applyFont="1" applyFill="1" applyBorder="1" applyAlignment="1"/>
    <xf numFmtId="0" fontId="32" fillId="35" borderId="1" xfId="0" applyFont="1" applyFill="1" applyBorder="1" applyAlignment="1"/>
    <xf numFmtId="1" fontId="17" fillId="35" borderId="1" xfId="0" applyNumberFormat="1" applyFont="1" applyFill="1" applyBorder="1" applyAlignment="1"/>
    <xf numFmtId="0" fontId="17" fillId="35" borderId="1" xfId="0" applyFont="1" applyFill="1" applyBorder="1" applyAlignment="1"/>
    <xf numFmtId="0" fontId="17" fillId="35" borderId="1" xfId="0" applyNumberFormat="1" applyFont="1" applyFill="1" applyBorder="1" applyAlignment="1"/>
    <xf numFmtId="165" fontId="17" fillId="35" borderId="0" xfId="0" applyNumberFormat="1" applyFont="1" applyFill="1" applyBorder="1" applyAlignment="1"/>
    <xf numFmtId="164" fontId="17" fillId="35" borderId="0" xfId="0" applyNumberFormat="1" applyFont="1" applyFill="1" applyBorder="1" applyAlignment="1"/>
    <xf numFmtId="10" fontId="17" fillId="35" borderId="1" xfId="0" applyNumberFormat="1" applyFont="1" applyFill="1" applyBorder="1" applyAlignment="1"/>
    <xf numFmtId="166" fontId="14" fillId="0" borderId="1" xfId="1" applyNumberFormat="1" applyFont="1" applyFill="1" applyBorder="1" applyAlignment="1"/>
    <xf numFmtId="10" fontId="32" fillId="0" borderId="1" xfId="0" applyNumberFormat="1" applyFont="1" applyFill="1" applyBorder="1" applyAlignment="1"/>
    <xf numFmtId="165" fontId="14" fillId="0" borderId="1" xfId="0" applyNumberFormat="1" applyFont="1" applyFill="1" applyBorder="1" applyAlignment="1"/>
    <xf numFmtId="164" fontId="14" fillId="0" borderId="1" xfId="0" applyNumberFormat="1" applyFont="1" applyFill="1" applyBorder="1" applyAlignment="1"/>
    <xf numFmtId="164" fontId="15" fillId="0" borderId="1" xfId="0" applyNumberFormat="1" applyFont="1" applyFill="1" applyBorder="1" applyAlignment="1">
      <alignment wrapText="1"/>
    </xf>
    <xf numFmtId="166" fontId="14" fillId="0" borderId="37" xfId="0" applyNumberFormat="1" applyFont="1" applyFill="1" applyBorder="1" applyAlignment="1"/>
    <xf numFmtId="2" fontId="14" fillId="0" borderId="47" xfId="0" applyNumberFormat="1" applyFont="1" applyFill="1" applyBorder="1" applyAlignment="1"/>
    <xf numFmtId="1" fontId="14" fillId="0" borderId="1" xfId="0" applyNumberFormat="1" applyFont="1" applyFill="1" applyBorder="1" applyAlignment="1"/>
    <xf numFmtId="2" fontId="14" fillId="0" borderId="49" xfId="0" applyNumberFormat="1" applyFont="1" applyFill="1" applyBorder="1" applyAlignment="1"/>
    <xf numFmtId="2" fontId="17" fillId="0" borderId="59" xfId="2" applyNumberFormat="1" applyFont="1" applyFill="1" applyBorder="1" applyAlignment="1">
      <alignment shrinkToFit="1"/>
    </xf>
    <xf numFmtId="166" fontId="14" fillId="0" borderId="59" xfId="0" applyNumberFormat="1" applyFont="1" applyFill="1" applyBorder="1" applyAlignment="1"/>
    <xf numFmtId="0" fontId="14" fillId="0" borderId="59" xfId="0" applyFont="1" applyFill="1" applyBorder="1" applyAlignment="1"/>
    <xf numFmtId="0" fontId="14" fillId="0" borderId="13" xfId="0" applyFont="1" applyFill="1" applyBorder="1" applyAlignment="1"/>
    <xf numFmtId="1" fontId="17" fillId="0" borderId="13" xfId="0" applyNumberFormat="1" applyFont="1" applyFill="1" applyBorder="1" applyAlignment="1"/>
    <xf numFmtId="0" fontId="14" fillId="0" borderId="13" xfId="0" applyNumberFormat="1" applyFont="1" applyFill="1" applyBorder="1" applyAlignment="1"/>
    <xf numFmtId="10" fontId="14" fillId="0" borderId="5" xfId="0" applyNumberFormat="1" applyFont="1" applyFill="1" applyBorder="1" applyAlignment="1"/>
    <xf numFmtId="1" fontId="17" fillId="0" borderId="5" xfId="0" applyNumberFormat="1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4" fillId="0" borderId="5" xfId="0" applyNumberFormat="1" applyFont="1" applyFill="1" applyBorder="1" applyAlignment="1"/>
    <xf numFmtId="0" fontId="14" fillId="0" borderId="5" xfId="0" applyFont="1" applyFill="1" applyBorder="1" applyAlignment="1"/>
    <xf numFmtId="2" fontId="14" fillId="0" borderId="37" xfId="0" applyNumberFormat="1" applyFont="1" applyFill="1" applyBorder="1" applyAlignment="1">
      <alignment shrinkToFit="1"/>
    </xf>
    <xf numFmtId="2" fontId="14" fillId="0" borderId="48" xfId="0" applyNumberFormat="1" applyFont="1" applyFill="1" applyBorder="1" applyAlignment="1"/>
    <xf numFmtId="2" fontId="14" fillId="0" borderId="1" xfId="1" applyNumberFormat="1" applyFont="1" applyFill="1" applyBorder="1" applyAlignment="1">
      <alignment wrapText="1"/>
    </xf>
    <xf numFmtId="2" fontId="14" fillId="0" borderId="1" xfId="0" applyNumberFormat="1" applyFont="1" applyFill="1" applyBorder="1" applyAlignment="1">
      <alignment wrapText="1"/>
    </xf>
    <xf numFmtId="165" fontId="14" fillId="0" borderId="0" xfId="0" applyNumberFormat="1" applyFont="1" applyFill="1" applyAlignment="1"/>
    <xf numFmtId="0" fontId="59" fillId="21" borderId="61" xfId="0" applyFont="1" applyFill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/>
    </xf>
    <xf numFmtId="0" fontId="48" fillId="9" borderId="1" xfId="0" applyFont="1" applyFill="1" applyBorder="1" applyAlignment="1">
      <alignment horizontal="center"/>
    </xf>
    <xf numFmtId="0" fontId="48" fillId="3" borderId="1" xfId="0" applyFont="1" applyFill="1" applyBorder="1" applyAlignment="1">
      <alignment horizontal="center"/>
    </xf>
    <xf numFmtId="0" fontId="48" fillId="3" borderId="59" xfId="0" applyFont="1" applyFill="1" applyBorder="1" applyAlignment="1">
      <alignment horizontal="center"/>
    </xf>
    <xf numFmtId="0" fontId="48" fillId="6" borderId="1" xfId="0" applyFont="1" applyFill="1" applyBorder="1" applyAlignment="1">
      <alignment horizontal="right"/>
    </xf>
    <xf numFmtId="0" fontId="48" fillId="36" borderId="1" xfId="0" applyFont="1" applyFill="1" applyBorder="1" applyAlignment="1">
      <alignment horizontal="right"/>
    </xf>
    <xf numFmtId="1" fontId="48" fillId="36" borderId="1" xfId="0" applyNumberFormat="1" applyFont="1" applyFill="1" applyBorder="1" applyAlignment="1">
      <alignment horizontal="right"/>
    </xf>
    <xf numFmtId="165" fontId="17" fillId="35" borderId="1" xfId="0" applyNumberFormat="1" applyFont="1" applyFill="1" applyBorder="1" applyAlignment="1"/>
    <xf numFmtId="164" fontId="17" fillId="0" borderId="13" xfId="1" applyNumberFormat="1" applyFont="1" applyFill="1" applyBorder="1" applyAlignment="1">
      <alignment horizontal="left" vertical="top" wrapText="1" shrinkToFit="1"/>
    </xf>
    <xf numFmtId="164" fontId="17" fillId="0" borderId="1" xfId="1" applyNumberFormat="1" applyFont="1" applyFill="1" applyBorder="1" applyAlignment="1">
      <alignment horizontal="left" vertical="top" wrapText="1" shrinkToFit="1"/>
    </xf>
    <xf numFmtId="0" fontId="17" fillId="0" borderId="1" xfId="0" applyFont="1" applyFill="1" applyBorder="1" applyAlignment="1">
      <alignment horizontal="left" vertical="top" wrapText="1" shrinkToFit="1"/>
    </xf>
    <xf numFmtId="0" fontId="65" fillId="0" borderId="1" xfId="0" applyFont="1" applyFill="1" applyBorder="1" applyAlignment="1">
      <alignment horizontal="center" vertical="center" shrinkToFit="1"/>
    </xf>
    <xf numFmtId="0" fontId="65" fillId="0" borderId="1" xfId="0" applyFont="1" applyBorder="1" applyAlignment="1">
      <alignment horizontal="center" vertical="center" shrinkToFit="1"/>
    </xf>
    <xf numFmtId="165" fontId="14" fillId="0" borderId="57" xfId="0" applyNumberFormat="1" applyFont="1" applyFill="1" applyBorder="1" applyAlignment="1">
      <alignment horizontal="center" shrinkToFit="1"/>
    </xf>
    <xf numFmtId="0" fontId="15" fillId="0" borderId="13" xfId="56" applyFont="1" applyFill="1" applyBorder="1" applyAlignment="1">
      <alignment horizontal="left" wrapText="1" shrinkToFit="1"/>
    </xf>
    <xf numFmtId="2" fontId="30" fillId="0" borderId="1" xfId="0" applyNumberFormat="1" applyFont="1" applyFill="1" applyBorder="1" applyAlignment="1">
      <alignment wrapText="1"/>
    </xf>
    <xf numFmtId="0" fontId="30" fillId="0" borderId="1" xfId="0" applyFont="1" applyFill="1" applyBorder="1" applyAlignment="1">
      <alignment wrapText="1"/>
    </xf>
    <xf numFmtId="0" fontId="30" fillId="0" borderId="59" xfId="0" applyFont="1" applyFill="1" applyBorder="1" applyAlignment="1">
      <alignment wrapText="1"/>
    </xf>
    <xf numFmtId="0" fontId="32" fillId="0" borderId="1" xfId="0" applyNumberFormat="1" applyFont="1" applyFill="1" applyBorder="1" applyAlignment="1">
      <alignment wrapText="1"/>
    </xf>
    <xf numFmtId="0" fontId="32" fillId="0" borderId="1" xfId="0" applyFont="1" applyFill="1" applyBorder="1" applyAlignment="1">
      <alignment wrapText="1"/>
    </xf>
    <xf numFmtId="166" fontId="30" fillId="0" borderId="1" xfId="0" applyNumberFormat="1" applyFont="1" applyFill="1" applyBorder="1" applyAlignment="1">
      <alignment wrapText="1"/>
    </xf>
    <xf numFmtId="0" fontId="30" fillId="0" borderId="1" xfId="0" applyFont="1" applyFill="1" applyBorder="1" applyAlignment="1">
      <alignment horizontal="center" wrapText="1"/>
    </xf>
    <xf numFmtId="10" fontId="30" fillId="0" borderId="59" xfId="1" applyNumberFormat="1" applyFont="1" applyFill="1" applyBorder="1" applyAlignment="1">
      <alignment horizontal="center" wrapText="1" shrinkToFit="1"/>
    </xf>
    <xf numFmtId="164" fontId="30" fillId="0" borderId="59" xfId="0" applyNumberFormat="1" applyFont="1" applyFill="1" applyBorder="1" applyAlignment="1">
      <alignment horizontal="center" wrapText="1" shrinkToFit="1"/>
    </xf>
    <xf numFmtId="0" fontId="32" fillId="0" borderId="1" xfId="0" applyFont="1" applyFill="1" applyBorder="1" applyAlignment="1">
      <alignment horizontal="left" wrapText="1"/>
    </xf>
    <xf numFmtId="165" fontId="32" fillId="0" borderId="1" xfId="0" applyNumberFormat="1" applyFont="1" applyFill="1" applyBorder="1" applyAlignment="1">
      <alignment wrapText="1"/>
    </xf>
    <xf numFmtId="0" fontId="32" fillId="0" borderId="2" xfId="0" applyFont="1" applyFill="1" applyBorder="1" applyAlignment="1">
      <alignment wrapText="1"/>
    </xf>
    <xf numFmtId="10" fontId="17" fillId="0" borderId="1" xfId="1" applyNumberFormat="1" applyFont="1" applyFill="1" applyBorder="1" applyAlignment="1">
      <alignment horizontal="left" vertical="top" wrapText="1" shrinkToFit="1"/>
    </xf>
    <xf numFmtId="164" fontId="17" fillId="0" borderId="1" xfId="0" applyNumberFormat="1" applyFont="1" applyFill="1" applyBorder="1" applyAlignment="1">
      <alignment horizontal="left" vertical="top" wrapText="1" shrinkToFit="1"/>
    </xf>
    <xf numFmtId="0" fontId="0" fillId="0" borderId="0" xfId="0"/>
    <xf numFmtId="0" fontId="10" fillId="0" borderId="0" xfId="0" applyFont="1"/>
    <xf numFmtId="0" fontId="0" fillId="0" borderId="63" xfId="0" applyBorder="1"/>
    <xf numFmtId="0" fontId="10" fillId="0" borderId="63" xfId="0" applyFont="1" applyBorder="1"/>
    <xf numFmtId="0" fontId="42" fillId="0" borderId="0" xfId="56" applyFont="1" applyBorder="1" applyAlignment="1">
      <alignment horizontal="left" indent="5"/>
    </xf>
    <xf numFmtId="0" fontId="3" fillId="0" borderId="0" xfId="179"/>
    <xf numFmtId="0" fontId="41" fillId="0" borderId="0" xfId="56" applyFont="1" applyBorder="1" applyAlignment="1">
      <alignment horizontal="left" indent="10"/>
    </xf>
    <xf numFmtId="10" fontId="3" fillId="0" borderId="63" xfId="264" applyNumberFormat="1" applyFont="1" applyBorder="1" applyAlignment="1">
      <alignment shrinkToFit="1"/>
    </xf>
    <xf numFmtId="10" fontId="3" fillId="0" borderId="63" xfId="264" applyNumberFormat="1" applyFont="1" applyBorder="1"/>
    <xf numFmtId="0" fontId="56" fillId="0" borderId="63" xfId="179" applyFont="1" applyFill="1" applyBorder="1" applyAlignment="1">
      <alignment shrinkToFit="1"/>
    </xf>
    <xf numFmtId="0" fontId="67" fillId="0" borderId="63" xfId="0" applyFont="1" applyBorder="1" applyAlignment="1">
      <alignment horizontal="right"/>
    </xf>
    <xf numFmtId="0" fontId="60" fillId="0" borderId="63" xfId="179" applyFont="1" applyBorder="1" applyAlignment="1">
      <alignment horizontal="center" vertical="center" wrapText="1"/>
    </xf>
    <xf numFmtId="0" fontId="67" fillId="6" borderId="63" xfId="0" applyFont="1" applyFill="1" applyBorder="1" applyAlignment="1">
      <alignment horizontal="right"/>
    </xf>
    <xf numFmtId="0" fontId="10" fillId="6" borderId="63" xfId="0" applyFont="1" applyFill="1" applyBorder="1"/>
    <xf numFmtId="10" fontId="66" fillId="6" borderId="63" xfId="264" applyNumberFormat="1" applyFont="1" applyFill="1" applyBorder="1" applyAlignment="1">
      <alignment shrinkToFit="1"/>
    </xf>
    <xf numFmtId="10" fontId="66" fillId="6" borderId="63" xfId="264" applyNumberFormat="1" applyFont="1" applyFill="1" applyBorder="1"/>
    <xf numFmtId="10" fontId="60" fillId="6" borderId="63" xfId="264" applyNumberFormat="1" applyFont="1" applyFill="1" applyBorder="1"/>
    <xf numFmtId="0" fontId="67" fillId="41" borderId="63" xfId="0" applyFont="1" applyFill="1" applyBorder="1" applyAlignment="1">
      <alignment horizontal="right"/>
    </xf>
    <xf numFmtId="0" fontId="10" fillId="41" borderId="63" xfId="0" applyFont="1" applyFill="1" applyBorder="1"/>
    <xf numFmtId="10" fontId="66" fillId="41" borderId="63" xfId="264" applyNumberFormat="1" applyFont="1" applyFill="1" applyBorder="1" applyAlignment="1">
      <alignment shrinkToFit="1"/>
    </xf>
    <xf numFmtId="10" fontId="66" fillId="41" borderId="63" xfId="264" applyNumberFormat="1" applyFont="1" applyFill="1" applyBorder="1"/>
    <xf numFmtId="10" fontId="60" fillId="41" borderId="63" xfId="264" applyNumberFormat="1" applyFont="1" applyFill="1" applyBorder="1"/>
    <xf numFmtId="0" fontId="51" fillId="2" borderId="63" xfId="0" applyFont="1" applyFill="1" applyBorder="1"/>
    <xf numFmtId="0" fontId="51" fillId="26" borderId="63" xfId="0" applyFont="1" applyFill="1" applyBorder="1"/>
    <xf numFmtId="0" fontId="14" fillId="0" borderId="63" xfId="0" applyFont="1" applyFill="1" applyBorder="1" applyAlignment="1">
      <alignment horizontal="center"/>
    </xf>
    <xf numFmtId="0" fontId="14" fillId="17" borderId="63" xfId="0" applyFont="1" applyFill="1" applyBorder="1" applyAlignment="1">
      <alignment horizontal="center"/>
    </xf>
    <xf numFmtId="2" fontId="17" fillId="0" borderId="58" xfId="0" applyNumberFormat="1" applyFont="1" applyFill="1" applyBorder="1" applyAlignment="1">
      <alignment horizontal="center" vertical="center"/>
    </xf>
    <xf numFmtId="0" fontId="38" fillId="2" borderId="63" xfId="0" applyFont="1" applyFill="1" applyBorder="1" applyAlignment="1">
      <alignment horizontal="left"/>
    </xf>
    <xf numFmtId="0" fontId="38" fillId="26" borderId="63" xfId="0" applyFont="1" applyFill="1" applyBorder="1" applyAlignment="1">
      <alignment horizontal="left"/>
    </xf>
    <xf numFmtId="0" fontId="38" fillId="2" borderId="59" xfId="0" applyFont="1" applyFill="1" applyBorder="1"/>
    <xf numFmtId="0" fontId="51" fillId="2" borderId="1" xfId="0" applyFont="1" applyFill="1" applyBorder="1"/>
    <xf numFmtId="0" fontId="45" fillId="38" borderId="63" xfId="266" applyFont="1" applyFill="1" applyBorder="1" applyAlignment="1">
      <alignment horizontal="center" vertical="center"/>
    </xf>
    <xf numFmtId="0" fontId="45" fillId="28" borderId="63" xfId="266" applyFont="1" applyFill="1" applyBorder="1" applyAlignment="1">
      <alignment horizontal="center" vertical="center"/>
    </xf>
    <xf numFmtId="0" fontId="45" fillId="28" borderId="63" xfId="266" applyFont="1" applyFill="1" applyBorder="1" applyAlignment="1">
      <alignment horizontal="center" vertical="center" wrapText="1"/>
    </xf>
    <xf numFmtId="0" fontId="27" fillId="36" borderId="0" xfId="266" applyFill="1" applyAlignment="1">
      <alignment horizontal="center"/>
    </xf>
    <xf numFmtId="0" fontId="27" fillId="36" borderId="58" xfId="266" applyFill="1" applyBorder="1" applyAlignment="1"/>
    <xf numFmtId="0" fontId="11" fillId="36" borderId="63" xfId="266" applyFont="1" applyFill="1" applyBorder="1" applyAlignment="1">
      <alignment horizontal="center" vertical="center"/>
    </xf>
    <xf numFmtId="0" fontId="11" fillId="36" borderId="63" xfId="266" applyFont="1" applyFill="1" applyBorder="1" applyAlignment="1">
      <alignment vertical="center"/>
    </xf>
    <xf numFmtId="0" fontId="2" fillId="0" borderId="63" xfId="432" applyBorder="1"/>
    <xf numFmtId="0" fontId="2" fillId="0" borderId="63" xfId="432" applyBorder="1"/>
    <xf numFmtId="0" fontId="15" fillId="0" borderId="63" xfId="56" applyFont="1" applyFill="1" applyBorder="1" applyAlignment="1">
      <alignment horizontal="left"/>
    </xf>
    <xf numFmtId="0" fontId="15" fillId="0" borderId="63" xfId="56" applyFont="1" applyFill="1" applyBorder="1" applyAlignment="1">
      <alignment horizontal="left" shrinkToFit="1"/>
    </xf>
    <xf numFmtId="0" fontId="14" fillId="0" borderId="63" xfId="56" applyFont="1" applyFill="1" applyBorder="1" applyAlignment="1">
      <alignment horizontal="center" shrinkToFit="1"/>
    </xf>
    <xf numFmtId="0" fontId="14" fillId="0" borderId="63" xfId="56" applyFont="1" applyFill="1" applyBorder="1" applyAlignment="1">
      <alignment horizontal="center" vertical="center" shrinkToFit="1"/>
    </xf>
    <xf numFmtId="0" fontId="14" fillId="0" borderId="63" xfId="56" applyFont="1" applyFill="1" applyBorder="1" applyAlignment="1">
      <alignment horizontal="center"/>
    </xf>
    <xf numFmtId="0" fontId="2" fillId="0" borderId="63" xfId="432" applyBorder="1"/>
    <xf numFmtId="0" fontId="15" fillId="0" borderId="63" xfId="56" applyFont="1" applyFill="1" applyBorder="1" applyAlignment="1">
      <alignment horizontal="left"/>
    </xf>
    <xf numFmtId="0" fontId="15" fillId="0" borderId="63" xfId="56" applyFont="1" applyFill="1" applyBorder="1" applyAlignment="1">
      <alignment horizontal="left" shrinkToFit="1"/>
    </xf>
    <xf numFmtId="0" fontId="14" fillId="0" borderId="63" xfId="56" applyFont="1" applyFill="1" applyBorder="1" applyAlignment="1">
      <alignment horizontal="center" shrinkToFit="1"/>
    </xf>
    <xf numFmtId="0" fontId="14" fillId="0" borderId="63" xfId="56" applyFont="1" applyFill="1" applyBorder="1" applyAlignment="1">
      <alignment horizontal="center" vertical="center" shrinkToFit="1"/>
    </xf>
    <xf numFmtId="0" fontId="14" fillId="0" borderId="13" xfId="56" applyFont="1" applyFill="1" applyBorder="1" applyAlignment="1">
      <alignment horizontal="center" vertical="center" shrinkToFit="1"/>
    </xf>
    <xf numFmtId="0" fontId="14" fillId="0" borderId="63" xfId="56" applyFont="1" applyFill="1" applyBorder="1" applyAlignment="1">
      <alignment horizontal="left" shrinkToFit="1"/>
    </xf>
    <xf numFmtId="0" fontId="15" fillId="0" borderId="63" xfId="56" applyFont="1" applyFill="1" applyBorder="1" applyAlignment="1">
      <alignment horizontal="left" wrapText="1" shrinkToFit="1"/>
    </xf>
    <xf numFmtId="0" fontId="14" fillId="0" borderId="13" xfId="56" applyFont="1" applyFill="1" applyBorder="1" applyAlignment="1">
      <alignment horizontal="center" shrinkToFit="1"/>
    </xf>
    <xf numFmtId="0" fontId="15" fillId="0" borderId="13" xfId="56" applyFont="1" applyFill="1" applyBorder="1" applyAlignment="1">
      <alignment horizontal="left" shrinkToFit="1"/>
    </xf>
    <xf numFmtId="0" fontId="15" fillId="0" borderId="63" xfId="56" applyFont="1" applyFill="1" applyBorder="1" applyAlignment="1">
      <alignment horizontal="left" vertical="center" wrapText="1" shrinkToFit="1"/>
    </xf>
    <xf numFmtId="0" fontId="14" fillId="0" borderId="63" xfId="56" applyFont="1" applyFill="1" applyBorder="1" applyAlignment="1">
      <alignment horizontal="center"/>
    </xf>
    <xf numFmtId="0" fontId="2" fillId="0" borderId="63" xfId="432" applyBorder="1"/>
    <xf numFmtId="0" fontId="15" fillId="0" borderId="63" xfId="56" applyFont="1" applyFill="1" applyBorder="1" applyAlignment="1">
      <alignment horizontal="left"/>
    </xf>
    <xf numFmtId="0" fontId="14" fillId="0" borderId="63" xfId="56" applyFont="1" applyFill="1" applyBorder="1" applyAlignment="1">
      <alignment horizontal="center"/>
    </xf>
    <xf numFmtId="0" fontId="14" fillId="0" borderId="63" xfId="56" applyFont="1" applyFill="1" applyBorder="1" applyAlignment="1">
      <alignment horizontal="right"/>
    </xf>
    <xf numFmtId="0" fontId="14" fillId="0" borderId="13" xfId="56" applyFont="1" applyFill="1" applyBorder="1" applyAlignment="1">
      <alignment horizontal="right"/>
    </xf>
    <xf numFmtId="0" fontId="14" fillId="0" borderId="63" xfId="56" applyFont="1" applyFill="1" applyBorder="1" applyAlignment="1">
      <alignment horizontal="right" vertical="center" wrapText="1"/>
    </xf>
    <xf numFmtId="0" fontId="14" fillId="0" borderId="63" xfId="56" applyFont="1" applyFill="1" applyBorder="1" applyAlignment="1">
      <alignment horizontal="right" vertical="center"/>
    </xf>
    <xf numFmtId="0" fontId="15" fillId="0" borderId="63" xfId="56" applyFont="1" applyFill="1" applyBorder="1" applyAlignment="1">
      <alignment horizontal="left" shrinkToFit="1"/>
    </xf>
    <xf numFmtId="0" fontId="14" fillId="0" borderId="63" xfId="56" applyFont="1" applyFill="1" applyBorder="1" applyAlignment="1">
      <alignment horizontal="left" shrinkToFit="1"/>
    </xf>
    <xf numFmtId="0" fontId="15" fillId="0" borderId="13" xfId="56" applyFont="1" applyFill="1" applyBorder="1" applyAlignment="1">
      <alignment horizontal="left" shrinkToFit="1"/>
    </xf>
    <xf numFmtId="0" fontId="15" fillId="0" borderId="63" xfId="56" applyFont="1" applyFill="1" applyBorder="1" applyAlignment="1">
      <alignment horizontal="left" vertical="center" wrapText="1" shrinkToFit="1"/>
    </xf>
    <xf numFmtId="0" fontId="15" fillId="0" borderId="63" xfId="56" applyFont="1" applyFill="1" applyBorder="1" applyAlignment="1">
      <alignment horizontal="left" wrapText="1" shrinkToFit="1"/>
    </xf>
    <xf numFmtId="0" fontId="14" fillId="0" borderId="63" xfId="56" applyFont="1" applyFill="1" applyBorder="1" applyAlignment="1">
      <alignment horizontal="center" shrinkToFit="1"/>
    </xf>
    <xf numFmtId="0" fontId="14" fillId="0" borderId="63" xfId="56" applyFont="1" applyFill="1" applyBorder="1" applyAlignment="1">
      <alignment horizontal="center" vertical="center" shrinkToFit="1"/>
    </xf>
    <xf numFmtId="2" fontId="14" fillId="0" borderId="1" xfId="1" applyNumberFormat="1" applyFont="1" applyFill="1" applyBorder="1" applyAlignment="1">
      <alignment horizontal="right"/>
    </xf>
    <xf numFmtId="2" fontId="14" fillId="0" borderId="1" xfId="0" applyNumberFormat="1" applyFont="1" applyFill="1" applyBorder="1" applyAlignment="1">
      <alignment horizontal="right"/>
    </xf>
    <xf numFmtId="165" fontId="14" fillId="0" borderId="63" xfId="0" applyNumberFormat="1" applyFont="1" applyFill="1" applyBorder="1" applyAlignment="1">
      <alignment horizontal="right"/>
    </xf>
    <xf numFmtId="0" fontId="1" fillId="0" borderId="63" xfId="516" applyBorder="1" applyAlignment="1">
      <alignment wrapText="1"/>
    </xf>
    <xf numFmtId="0" fontId="1" fillId="0" borderId="63" xfId="516" applyBorder="1" applyAlignment="1">
      <alignment wrapText="1"/>
    </xf>
    <xf numFmtId="0" fontId="1" fillId="0" borderId="63" xfId="516" applyBorder="1" applyAlignment="1">
      <alignment horizontal="right" wrapText="1"/>
    </xf>
    <xf numFmtId="0" fontId="69" fillId="0" borderId="63" xfId="180" applyFont="1" applyFill="1" applyBorder="1" applyAlignment="1">
      <alignment horizontal="left" shrinkToFit="1"/>
    </xf>
    <xf numFmtId="0" fontId="56" fillId="0" borderId="63" xfId="179" applyFont="1" applyBorder="1" applyAlignment="1">
      <alignment horizontal="right" shrinkToFit="1"/>
    </xf>
    <xf numFmtId="0" fontId="56" fillId="0" borderId="63" xfId="0" applyFont="1" applyBorder="1"/>
    <xf numFmtId="10" fontId="56" fillId="0" borderId="63" xfId="264" applyNumberFormat="1" applyFont="1" applyBorder="1" applyAlignment="1">
      <alignment shrinkToFit="1"/>
    </xf>
    <xf numFmtId="10" fontId="56" fillId="0" borderId="63" xfId="264" applyNumberFormat="1" applyFont="1" applyBorder="1"/>
    <xf numFmtId="0" fontId="70" fillId="0" borderId="63" xfId="180" applyFont="1" applyFill="1" applyBorder="1" applyAlignment="1">
      <alignment horizontal="left" shrinkToFit="1"/>
    </xf>
    <xf numFmtId="0" fontId="69" fillId="0" borderId="63" xfId="180" applyFont="1" applyFill="1" applyBorder="1" applyAlignment="1">
      <alignment horizontal="left" vertical="center" shrinkToFit="1"/>
    </xf>
    <xf numFmtId="0" fontId="71" fillId="0" borderId="63" xfId="180" applyFont="1" applyFill="1" applyBorder="1" applyAlignment="1">
      <alignment horizontal="left" shrinkToFit="1"/>
    </xf>
    <xf numFmtId="0" fontId="56" fillId="0" borderId="63" xfId="179" applyFont="1" applyBorder="1" applyAlignment="1">
      <alignment shrinkToFit="1"/>
    </xf>
    <xf numFmtId="0" fontId="56" fillId="0" borderId="57" xfId="179" applyFont="1" applyBorder="1" applyAlignment="1">
      <alignment horizontal="right" shrinkToFit="1"/>
    </xf>
    <xf numFmtId="0" fontId="56" fillId="0" borderId="63" xfId="179" applyFont="1" applyBorder="1"/>
    <xf numFmtId="0" fontId="60" fillId="0" borderId="13" xfId="179" applyFont="1" applyFill="1" applyBorder="1" applyAlignment="1">
      <alignment horizontal="center" vertical="center" wrapText="1"/>
    </xf>
    <xf numFmtId="0" fontId="60" fillId="0" borderId="63" xfId="0" applyFont="1" applyFill="1" applyBorder="1" applyAlignment="1">
      <alignment horizontal="center" vertical="center" wrapText="1"/>
    </xf>
    <xf numFmtId="0" fontId="60" fillId="0" borderId="63" xfId="179" applyFont="1" applyFill="1" applyBorder="1" applyAlignment="1">
      <alignment horizontal="center" vertical="center" wrapText="1"/>
    </xf>
    <xf numFmtId="0" fontId="60" fillId="0" borderId="58" xfId="179" applyFont="1" applyFill="1" applyBorder="1" applyAlignment="1">
      <alignment horizontal="center" vertical="center" wrapText="1"/>
    </xf>
    <xf numFmtId="0" fontId="60" fillId="41" borderId="63" xfId="179" applyFont="1" applyFill="1" applyBorder="1" applyAlignment="1">
      <alignment horizontal="center" vertical="center" wrapText="1"/>
    </xf>
    <xf numFmtId="0" fontId="72" fillId="0" borderId="63" xfId="180" applyFont="1" applyFill="1" applyBorder="1" applyAlignment="1">
      <alignment horizontal="left" shrinkToFit="1"/>
    </xf>
    <xf numFmtId="0" fontId="73" fillId="0" borderId="63" xfId="180" applyFont="1" applyFill="1" applyBorder="1" applyAlignment="1">
      <alignment horizontal="left" shrinkToFit="1"/>
    </xf>
    <xf numFmtId="0" fontId="72" fillId="0" borderId="63" xfId="180" applyFont="1" applyFill="1" applyBorder="1" applyAlignment="1">
      <alignment horizontal="left" vertical="center" shrinkToFit="1"/>
    </xf>
    <xf numFmtId="0" fontId="56" fillId="0" borderId="63" xfId="180" applyFont="1" applyFill="1" applyBorder="1" applyAlignment="1">
      <alignment horizontal="left" shrinkToFit="1"/>
    </xf>
    <xf numFmtId="0" fontId="60" fillId="6" borderId="63" xfId="179" applyFont="1" applyFill="1" applyBorder="1" applyAlignment="1">
      <alignment horizontal="center" vertical="center" wrapText="1"/>
    </xf>
    <xf numFmtId="0" fontId="60" fillId="0" borderId="63" xfId="179" applyFont="1" applyFill="1" applyBorder="1" applyAlignment="1">
      <alignment wrapText="1"/>
    </xf>
    <xf numFmtId="0" fontId="10" fillId="42" borderId="63" xfId="266" applyFont="1" applyFill="1" applyBorder="1" applyAlignment="1">
      <alignment horizontal="center" vertical="center"/>
    </xf>
    <xf numFmtId="0" fontId="2" fillId="42" borderId="63" xfId="432" applyFill="1" applyBorder="1"/>
    <xf numFmtId="0" fontId="32" fillId="0" borderId="1" xfId="0" applyFont="1" applyFill="1" applyBorder="1" applyAlignment="1">
      <alignment horizontal="center" vertical="center" wrapText="1" shrinkToFit="1"/>
    </xf>
    <xf numFmtId="0" fontId="14" fillId="30" borderId="11" xfId="0" applyFont="1" applyFill="1" applyBorder="1" applyAlignment="1">
      <alignment horizontal="center"/>
    </xf>
    <xf numFmtId="0" fontId="14" fillId="30" borderId="6" xfId="0" applyFont="1" applyFill="1" applyBorder="1" applyAlignment="1">
      <alignment horizontal="center"/>
    </xf>
    <xf numFmtId="0" fontId="14" fillId="30" borderId="8" xfId="0" applyFont="1" applyFill="1" applyBorder="1" applyAlignment="1">
      <alignment horizontal="center"/>
    </xf>
    <xf numFmtId="0" fontId="11" fillId="20" borderId="57" xfId="0" applyFont="1" applyFill="1" applyBorder="1" applyAlignment="1">
      <alignment horizontal="right" vertical="center"/>
    </xf>
    <xf numFmtId="0" fontId="11" fillId="20" borderId="56" xfId="0" applyFont="1" applyFill="1" applyBorder="1" applyAlignment="1">
      <alignment horizontal="right" vertical="center"/>
    </xf>
    <xf numFmtId="0" fontId="11" fillId="20" borderId="58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1" fillId="16" borderId="11" xfId="0" applyFont="1" applyFill="1" applyBorder="1" applyAlignment="1">
      <alignment horizontal="center" vertical="center"/>
    </xf>
    <xf numFmtId="0" fontId="11" fillId="16" borderId="14" xfId="0" applyFont="1" applyFill="1" applyBorder="1" applyAlignment="1">
      <alignment horizontal="center" vertical="center"/>
    </xf>
    <xf numFmtId="0" fontId="11" fillId="16" borderId="12" xfId="0" applyFont="1" applyFill="1" applyBorder="1" applyAlignment="1">
      <alignment horizontal="center" vertical="center"/>
    </xf>
    <xf numFmtId="0" fontId="11" fillId="16" borderId="8" xfId="0" applyFont="1" applyFill="1" applyBorder="1" applyAlignment="1">
      <alignment horizontal="center" vertical="center"/>
    </xf>
    <xf numFmtId="0" fontId="11" fillId="16" borderId="10" xfId="0" applyFont="1" applyFill="1" applyBorder="1" applyAlignment="1">
      <alignment horizontal="center" vertical="center"/>
    </xf>
    <xf numFmtId="0" fontId="11" fillId="16" borderId="9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/>
    </xf>
    <xf numFmtId="0" fontId="10" fillId="22" borderId="1" xfId="0" applyFont="1" applyFill="1" applyBorder="1" applyAlignment="1">
      <alignment horizontal="center" vertical="center"/>
    </xf>
    <xf numFmtId="0" fontId="11" fillId="20" borderId="0" xfId="0" applyFont="1" applyFill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1" fillId="16" borderId="0" xfId="0" applyFont="1" applyFill="1" applyAlignment="1">
      <alignment horizontal="left" vertical="center"/>
    </xf>
    <xf numFmtId="0" fontId="11" fillId="16" borderId="10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5" fillId="19" borderId="0" xfId="0" applyFont="1" applyFill="1" applyAlignment="1">
      <alignment horizontal="center" vertical="center"/>
    </xf>
    <xf numFmtId="0" fontId="25" fillId="19" borderId="10" xfId="0" applyFont="1" applyFill="1" applyBorder="1" applyAlignment="1">
      <alignment horizontal="center" vertical="center"/>
    </xf>
    <xf numFmtId="0" fontId="11" fillId="36" borderId="10" xfId="266" applyFont="1" applyFill="1" applyBorder="1" applyAlignment="1">
      <alignment horizontal="center"/>
    </xf>
    <xf numFmtId="0" fontId="11" fillId="36" borderId="9" xfId="266" applyFont="1" applyFill="1" applyBorder="1" applyAlignment="1">
      <alignment horizontal="center"/>
    </xf>
    <xf numFmtId="0" fontId="31" fillId="3" borderId="11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11" fillId="3" borderId="61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50" fillId="30" borderId="11" xfId="0" applyFont="1" applyFill="1" applyBorder="1" applyAlignment="1">
      <alignment horizontal="center"/>
    </xf>
    <xf numFmtId="0" fontId="50" fillId="30" borderId="14" xfId="0" applyFont="1" applyFill="1" applyBorder="1" applyAlignment="1">
      <alignment horizontal="center"/>
    </xf>
    <xf numFmtId="0" fontId="50" fillId="30" borderId="12" xfId="0" applyFont="1" applyFill="1" applyBorder="1" applyAlignment="1">
      <alignment horizontal="center"/>
    </xf>
    <xf numFmtId="0" fontId="50" fillId="30" borderId="6" xfId="0" applyFont="1" applyFill="1" applyBorder="1" applyAlignment="1">
      <alignment horizontal="center"/>
    </xf>
    <xf numFmtId="0" fontId="50" fillId="30" borderId="0" xfId="0" applyFont="1" applyFill="1" applyBorder="1" applyAlignment="1">
      <alignment horizontal="center"/>
    </xf>
    <xf numFmtId="0" fontId="50" fillId="30" borderId="7" xfId="0" applyFont="1" applyFill="1" applyBorder="1" applyAlignment="1">
      <alignment horizontal="center"/>
    </xf>
    <xf numFmtId="0" fontId="50" fillId="30" borderId="8" xfId="0" applyFont="1" applyFill="1" applyBorder="1" applyAlignment="1">
      <alignment horizontal="center"/>
    </xf>
    <xf numFmtId="0" fontId="50" fillId="30" borderId="10" xfId="0" applyFont="1" applyFill="1" applyBorder="1" applyAlignment="1">
      <alignment horizontal="center"/>
    </xf>
    <xf numFmtId="0" fontId="50" fillId="30" borderId="9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/>
    </xf>
    <xf numFmtId="2" fontId="11" fillId="12" borderId="2" xfId="0" applyNumberFormat="1" applyFont="1" applyFill="1" applyBorder="1" applyAlignment="1">
      <alignment horizontal="center" vertical="center"/>
    </xf>
    <xf numFmtId="2" fontId="11" fillId="12" borderId="3" xfId="0" applyNumberFormat="1" applyFont="1" applyFill="1" applyBorder="1" applyAlignment="1">
      <alignment horizontal="center" vertical="center"/>
    </xf>
    <xf numFmtId="2" fontId="11" fillId="12" borderId="4" xfId="0" applyNumberFormat="1" applyFont="1" applyFill="1" applyBorder="1" applyAlignment="1">
      <alignment horizontal="center" vertical="center"/>
    </xf>
    <xf numFmtId="0" fontId="11" fillId="15" borderId="57" xfId="0" applyFont="1" applyFill="1" applyBorder="1" applyAlignment="1">
      <alignment horizontal="center" vertical="center" wrapText="1"/>
    </xf>
    <xf numFmtId="0" fontId="11" fillId="15" borderId="56" xfId="0" applyFont="1" applyFill="1" applyBorder="1" applyAlignment="1">
      <alignment horizontal="center" vertical="center" wrapText="1"/>
    </xf>
    <xf numFmtId="0" fontId="11" fillId="15" borderId="58" xfId="0" applyFont="1" applyFill="1" applyBorder="1" applyAlignment="1">
      <alignment horizontal="center" vertical="center" wrapText="1"/>
    </xf>
    <xf numFmtId="0" fontId="11" fillId="36" borderId="8" xfId="0" applyFont="1" applyFill="1" applyBorder="1" applyAlignment="1">
      <alignment horizontal="center"/>
    </xf>
    <xf numFmtId="0" fontId="11" fillId="36" borderId="10" xfId="0" applyFont="1" applyFill="1" applyBorder="1" applyAlignment="1">
      <alignment horizontal="center"/>
    </xf>
    <xf numFmtId="0" fontId="11" fillId="26" borderId="2" xfId="0" applyFont="1" applyFill="1" applyBorder="1" applyAlignment="1">
      <alignment horizontal="center" wrapText="1"/>
    </xf>
    <xf numFmtId="0" fontId="11" fillId="26" borderId="4" xfId="0" applyFont="1" applyFill="1" applyBorder="1" applyAlignment="1">
      <alignment horizontal="center" wrapText="1"/>
    </xf>
    <xf numFmtId="0" fontId="53" fillId="5" borderId="63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/>
    </xf>
    <xf numFmtId="0" fontId="11" fillId="3" borderId="56" xfId="0" applyFont="1" applyFill="1" applyBorder="1" applyAlignment="1">
      <alignment horizontal="center"/>
    </xf>
    <xf numFmtId="0" fontId="11" fillId="3" borderId="58" xfId="0" applyFont="1" applyFill="1" applyBorder="1" applyAlignment="1">
      <alignment horizontal="center"/>
    </xf>
    <xf numFmtId="0" fontId="11" fillId="23" borderId="1" xfId="0" applyFont="1" applyFill="1" applyBorder="1" applyAlignment="1">
      <alignment horizontal="center" vertical="center"/>
    </xf>
    <xf numFmtId="0" fontId="46" fillId="39" borderId="12" xfId="0" applyFont="1" applyFill="1" applyBorder="1" applyAlignment="1">
      <alignment horizontal="center" vertical="center"/>
    </xf>
    <xf numFmtId="0" fontId="46" fillId="39" borderId="9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42" fillId="22" borderId="5" xfId="0" applyFont="1" applyFill="1" applyBorder="1" applyAlignment="1">
      <alignment horizontal="center" vertical="center" wrapText="1"/>
    </xf>
    <xf numFmtId="0" fontId="42" fillId="22" borderId="5" xfId="0" applyFont="1" applyFill="1" applyBorder="1" applyAlignment="1">
      <alignment horizontal="center" vertical="center"/>
    </xf>
    <xf numFmtId="0" fontId="42" fillId="2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/>
    </xf>
    <xf numFmtId="0" fontId="14" fillId="30" borderId="14" xfId="0" applyFont="1" applyFill="1" applyBorder="1" applyAlignment="1">
      <alignment horizontal="center"/>
    </xf>
    <xf numFmtId="0" fontId="14" fillId="30" borderId="12" xfId="0" applyFont="1" applyFill="1" applyBorder="1" applyAlignment="1">
      <alignment horizontal="center"/>
    </xf>
    <xf numFmtId="0" fontId="14" fillId="30" borderId="0" xfId="0" applyFont="1" applyFill="1" applyBorder="1" applyAlignment="1">
      <alignment horizontal="center"/>
    </xf>
    <xf numFmtId="0" fontId="14" fillId="30" borderId="7" xfId="0" applyFont="1" applyFill="1" applyBorder="1" applyAlignment="1">
      <alignment horizontal="center"/>
    </xf>
    <xf numFmtId="0" fontId="14" fillId="30" borderId="10" xfId="0" applyFont="1" applyFill="1" applyBorder="1" applyAlignment="1">
      <alignment horizontal="center"/>
    </xf>
    <xf numFmtId="0" fontId="14" fillId="30" borderId="9" xfId="0" applyFont="1" applyFill="1" applyBorder="1" applyAlignment="1">
      <alignment horizontal="center"/>
    </xf>
    <xf numFmtId="0" fontId="53" fillId="5" borderId="2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horizontal="center" vertical="center"/>
    </xf>
    <xf numFmtId="0" fontId="53" fillId="5" borderId="56" xfId="0" applyFont="1" applyFill="1" applyBorder="1" applyAlignment="1">
      <alignment horizontal="center" vertical="center"/>
    </xf>
    <xf numFmtId="0" fontId="53" fillId="5" borderId="4" xfId="0" applyFont="1" applyFill="1" applyBorder="1" applyAlignment="1">
      <alignment horizontal="center" vertical="center"/>
    </xf>
    <xf numFmtId="2" fontId="11" fillId="34" borderId="2" xfId="0" applyNumberFormat="1" applyFont="1" applyFill="1" applyBorder="1" applyAlignment="1">
      <alignment horizontal="center" vertical="center"/>
    </xf>
    <xf numFmtId="2" fontId="11" fillId="34" borderId="3" xfId="0" applyNumberFormat="1" applyFont="1" applyFill="1" applyBorder="1" applyAlignment="1">
      <alignment horizontal="center" vertical="center"/>
    </xf>
    <xf numFmtId="2" fontId="11" fillId="34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wrapText="1"/>
    </xf>
    <xf numFmtId="0" fontId="42" fillId="6" borderId="1" xfId="0" applyFont="1" applyFill="1" applyBorder="1" applyAlignment="1">
      <alignment horizontal="center"/>
    </xf>
    <xf numFmtId="0" fontId="11" fillId="26" borderId="2" xfId="0" applyFont="1" applyFill="1" applyBorder="1" applyAlignment="1">
      <alignment horizontal="center" vertical="center" wrapText="1"/>
    </xf>
    <xf numFmtId="0" fontId="11" fillId="26" borderId="4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57" fillId="23" borderId="61" xfId="0" applyFont="1" applyFill="1" applyBorder="1" applyAlignment="1">
      <alignment horizontal="center"/>
    </xf>
    <xf numFmtId="0" fontId="57" fillId="3" borderId="57" xfId="0" applyFont="1" applyFill="1" applyBorder="1" applyAlignment="1">
      <alignment horizontal="center"/>
    </xf>
    <xf numFmtId="0" fontId="57" fillId="3" borderId="56" xfId="0" applyFont="1" applyFill="1" applyBorder="1" applyAlignment="1">
      <alignment horizontal="center"/>
    </xf>
    <xf numFmtId="0" fontId="57" fillId="3" borderId="58" xfId="0" applyFont="1" applyFill="1" applyBorder="1" applyAlignment="1">
      <alignment horizontal="center"/>
    </xf>
    <xf numFmtId="0" fontId="58" fillId="3" borderId="11" xfId="0" applyFont="1" applyFill="1" applyBorder="1" applyAlignment="1">
      <alignment horizontal="center" vertical="center"/>
    </xf>
    <xf numFmtId="0" fontId="58" fillId="3" borderId="14" xfId="0" applyFont="1" applyFill="1" applyBorder="1" applyAlignment="1">
      <alignment horizontal="center" vertical="center"/>
    </xf>
    <xf numFmtId="0" fontId="58" fillId="3" borderId="12" xfId="0" applyFont="1" applyFill="1" applyBorder="1" applyAlignment="1">
      <alignment horizontal="center" vertical="center"/>
    </xf>
    <xf numFmtId="0" fontId="58" fillId="3" borderId="8" xfId="0" applyFont="1" applyFill="1" applyBorder="1" applyAlignment="1">
      <alignment horizontal="center" vertical="center"/>
    </xf>
    <xf numFmtId="0" fontId="58" fillId="3" borderId="10" xfId="0" applyFont="1" applyFill="1" applyBorder="1" applyAlignment="1">
      <alignment horizontal="center" vertical="center"/>
    </xf>
    <xf numFmtId="0" fontId="58" fillId="3" borderId="9" xfId="0" applyFont="1" applyFill="1" applyBorder="1" applyAlignment="1">
      <alignment horizontal="center" vertical="center"/>
    </xf>
    <xf numFmtId="0" fontId="57" fillId="23" borderId="61" xfId="0" applyFont="1" applyFill="1" applyBorder="1" applyAlignment="1">
      <alignment horizontal="center" vertical="center"/>
    </xf>
    <xf numFmtId="0" fontId="57" fillId="23" borderId="13" xfId="0" applyFont="1" applyFill="1" applyBorder="1" applyAlignment="1">
      <alignment horizontal="center" vertical="center"/>
    </xf>
    <xf numFmtId="0" fontId="57" fillId="23" borderId="5" xfId="0" applyFont="1" applyFill="1" applyBorder="1" applyAlignment="1">
      <alignment horizontal="center" vertical="center"/>
    </xf>
    <xf numFmtId="0" fontId="68" fillId="41" borderId="63" xfId="0" applyFont="1" applyFill="1" applyBorder="1" applyAlignment="1">
      <alignment horizontal="center" vertical="center"/>
    </xf>
    <xf numFmtId="0" fontId="68" fillId="6" borderId="11" xfId="56" applyFont="1" applyFill="1" applyBorder="1" applyAlignment="1">
      <alignment horizontal="center" vertical="center"/>
    </xf>
    <xf numFmtId="0" fontId="68" fillId="6" borderId="14" xfId="56" applyFont="1" applyFill="1" applyBorder="1" applyAlignment="1">
      <alignment horizontal="center" vertical="center"/>
    </xf>
    <xf numFmtId="0" fontId="68" fillId="6" borderId="12" xfId="56" applyFont="1" applyFill="1" applyBorder="1" applyAlignment="1">
      <alignment horizontal="center" vertical="center"/>
    </xf>
    <xf numFmtId="0" fontId="68" fillId="6" borderId="8" xfId="56" applyFont="1" applyFill="1" applyBorder="1" applyAlignment="1">
      <alignment horizontal="center" vertical="center"/>
    </xf>
    <xf numFmtId="0" fontId="68" fillId="6" borderId="10" xfId="56" applyFont="1" applyFill="1" applyBorder="1" applyAlignment="1">
      <alignment horizontal="center" vertical="center"/>
    </xf>
    <xf numFmtId="0" fontId="68" fillId="6" borderId="9" xfId="56" applyFont="1" applyFill="1" applyBorder="1" applyAlignment="1">
      <alignment horizontal="center" vertical="center"/>
    </xf>
  </cellXfs>
  <cellStyles count="517">
    <cellStyle name="Bad 2" xfId="8"/>
    <cellStyle name="Normal" xfId="0" builtinId="0"/>
    <cellStyle name="Normal 10" xfId="56"/>
    <cellStyle name="Normal 11" xfId="180"/>
    <cellStyle name="Normal 12" xfId="179"/>
    <cellStyle name="Normal 12 2" xfId="432"/>
    <cellStyle name="Normal 13" xfId="266"/>
    <cellStyle name="Normal 14" xfId="265"/>
    <cellStyle name="Normal 15" xfId="516"/>
    <cellStyle name="Normal 2" xfId="6"/>
    <cellStyle name="Normal 3" xfId="4"/>
    <cellStyle name="Normal 3 2" xfId="13"/>
    <cellStyle name="Normal 3 2 2" xfId="25"/>
    <cellStyle name="Normal 3 2 2 2" xfId="48"/>
    <cellStyle name="Normal 3 2 2 2 2" xfId="91"/>
    <cellStyle name="Normal 3 2 2 2 2 2" xfId="258"/>
    <cellStyle name="Normal 3 2 2 2 2 2 2" xfId="509"/>
    <cellStyle name="Normal 3 2 2 2 2 3" xfId="173"/>
    <cellStyle name="Normal 3 2 2 2 2 3 2" xfId="426"/>
    <cellStyle name="Normal 3 2 2 2 2 4" xfId="344"/>
    <cellStyle name="Normal 3 2 2 2 3" xfId="217"/>
    <cellStyle name="Normal 3 2 2 2 3 2" xfId="468"/>
    <cellStyle name="Normal 3 2 2 2 4" xfId="132"/>
    <cellStyle name="Normal 3 2 2 2 4 2" xfId="385"/>
    <cellStyle name="Normal 3 2 2 2 5" xfId="303"/>
    <cellStyle name="Normal 3 2 2 3" xfId="70"/>
    <cellStyle name="Normal 3 2 2 3 2" xfId="237"/>
    <cellStyle name="Normal 3 2 2 3 2 2" xfId="488"/>
    <cellStyle name="Normal 3 2 2 3 3" xfId="152"/>
    <cellStyle name="Normal 3 2 2 3 3 2" xfId="405"/>
    <cellStyle name="Normal 3 2 2 3 4" xfId="323"/>
    <cellStyle name="Normal 3 2 2 4" xfId="196"/>
    <cellStyle name="Normal 3 2 2 4 2" xfId="447"/>
    <cellStyle name="Normal 3 2 2 5" xfId="111"/>
    <cellStyle name="Normal 3 2 2 5 2" xfId="364"/>
    <cellStyle name="Normal 3 2 2 6" xfId="282"/>
    <cellStyle name="Normal 3 2 3" xfId="38"/>
    <cellStyle name="Normal 3 2 3 2" xfId="81"/>
    <cellStyle name="Normal 3 2 3 2 2" xfId="248"/>
    <cellStyle name="Normal 3 2 3 2 2 2" xfId="499"/>
    <cellStyle name="Normal 3 2 3 2 3" xfId="163"/>
    <cellStyle name="Normal 3 2 3 2 3 2" xfId="416"/>
    <cellStyle name="Normal 3 2 3 2 4" xfId="334"/>
    <cellStyle name="Normal 3 2 3 3" xfId="207"/>
    <cellStyle name="Normal 3 2 3 3 2" xfId="458"/>
    <cellStyle name="Normal 3 2 3 4" xfId="122"/>
    <cellStyle name="Normal 3 2 3 4 2" xfId="375"/>
    <cellStyle name="Normal 3 2 3 5" xfId="293"/>
    <cellStyle name="Normal 3 2 4" xfId="60"/>
    <cellStyle name="Normal 3 2 4 2" xfId="227"/>
    <cellStyle name="Normal 3 2 4 2 2" xfId="478"/>
    <cellStyle name="Normal 3 2 4 3" xfId="142"/>
    <cellStyle name="Normal 3 2 4 3 2" xfId="395"/>
    <cellStyle name="Normal 3 2 4 4" xfId="313"/>
    <cellStyle name="Normal 3 2 5" xfId="186"/>
    <cellStyle name="Normal 3 2 5 2" xfId="437"/>
    <cellStyle name="Normal 3 2 6" xfId="101"/>
    <cellStyle name="Normal 3 2 6 2" xfId="354"/>
    <cellStyle name="Normal 3 2 7" xfId="272"/>
    <cellStyle name="Normal 3 3" xfId="17"/>
    <cellStyle name="Normal 3 3 2" xfId="29"/>
    <cellStyle name="Normal 3 3 2 2" xfId="52"/>
    <cellStyle name="Normal 3 3 2 2 2" xfId="95"/>
    <cellStyle name="Normal 3 3 2 2 2 2" xfId="262"/>
    <cellStyle name="Normal 3 3 2 2 2 2 2" xfId="513"/>
    <cellStyle name="Normal 3 3 2 2 2 3" xfId="177"/>
    <cellStyle name="Normal 3 3 2 2 2 3 2" xfId="430"/>
    <cellStyle name="Normal 3 3 2 2 2 4" xfId="348"/>
    <cellStyle name="Normal 3 3 2 2 3" xfId="221"/>
    <cellStyle name="Normal 3 3 2 2 3 2" xfId="472"/>
    <cellStyle name="Normal 3 3 2 2 4" xfId="136"/>
    <cellStyle name="Normal 3 3 2 2 4 2" xfId="389"/>
    <cellStyle name="Normal 3 3 2 2 5" xfId="307"/>
    <cellStyle name="Normal 3 3 2 3" xfId="74"/>
    <cellStyle name="Normal 3 3 2 3 2" xfId="241"/>
    <cellStyle name="Normal 3 3 2 3 2 2" xfId="492"/>
    <cellStyle name="Normal 3 3 2 3 3" xfId="156"/>
    <cellStyle name="Normal 3 3 2 3 3 2" xfId="409"/>
    <cellStyle name="Normal 3 3 2 3 4" xfId="327"/>
    <cellStyle name="Normal 3 3 2 4" xfId="200"/>
    <cellStyle name="Normal 3 3 2 4 2" xfId="451"/>
    <cellStyle name="Normal 3 3 2 5" xfId="115"/>
    <cellStyle name="Normal 3 3 2 5 2" xfId="368"/>
    <cellStyle name="Normal 3 3 2 6" xfId="286"/>
    <cellStyle name="Normal 3 3 3" xfId="42"/>
    <cellStyle name="Normal 3 3 3 2" xfId="85"/>
    <cellStyle name="Normal 3 3 3 2 2" xfId="252"/>
    <cellStyle name="Normal 3 3 3 2 2 2" xfId="503"/>
    <cellStyle name="Normal 3 3 3 2 3" xfId="167"/>
    <cellStyle name="Normal 3 3 3 2 3 2" xfId="420"/>
    <cellStyle name="Normal 3 3 3 2 4" xfId="338"/>
    <cellStyle name="Normal 3 3 3 3" xfId="211"/>
    <cellStyle name="Normal 3 3 3 3 2" xfId="462"/>
    <cellStyle name="Normal 3 3 3 4" xfId="126"/>
    <cellStyle name="Normal 3 3 3 4 2" xfId="379"/>
    <cellStyle name="Normal 3 3 3 5" xfId="297"/>
    <cellStyle name="Normal 3 3 4" xfId="64"/>
    <cellStyle name="Normal 3 3 4 2" xfId="231"/>
    <cellStyle name="Normal 3 3 4 2 2" xfId="482"/>
    <cellStyle name="Normal 3 3 4 3" xfId="146"/>
    <cellStyle name="Normal 3 3 4 3 2" xfId="399"/>
    <cellStyle name="Normal 3 3 4 4" xfId="317"/>
    <cellStyle name="Normal 3 3 5" xfId="190"/>
    <cellStyle name="Normal 3 3 5 2" xfId="441"/>
    <cellStyle name="Normal 3 3 6" xfId="105"/>
    <cellStyle name="Normal 3 3 6 2" xfId="358"/>
    <cellStyle name="Normal 3 3 7" xfId="276"/>
    <cellStyle name="Normal 3 4" xfId="19"/>
    <cellStyle name="Normal 3 4 2" xfId="44"/>
    <cellStyle name="Normal 3 4 2 2" xfId="87"/>
    <cellStyle name="Normal 3 4 2 2 2" xfId="254"/>
    <cellStyle name="Normal 3 4 2 2 2 2" xfId="505"/>
    <cellStyle name="Normal 3 4 2 2 3" xfId="169"/>
    <cellStyle name="Normal 3 4 2 2 3 2" xfId="422"/>
    <cellStyle name="Normal 3 4 2 2 4" xfId="340"/>
    <cellStyle name="Normal 3 4 2 3" xfId="213"/>
    <cellStyle name="Normal 3 4 2 3 2" xfId="464"/>
    <cellStyle name="Normal 3 4 2 4" xfId="128"/>
    <cellStyle name="Normal 3 4 2 4 2" xfId="381"/>
    <cellStyle name="Normal 3 4 2 5" xfId="299"/>
    <cellStyle name="Normal 3 4 3" xfId="66"/>
    <cellStyle name="Normal 3 4 3 2" xfId="233"/>
    <cellStyle name="Normal 3 4 3 2 2" xfId="484"/>
    <cellStyle name="Normal 3 4 3 3" xfId="148"/>
    <cellStyle name="Normal 3 4 3 3 2" xfId="401"/>
    <cellStyle name="Normal 3 4 3 4" xfId="319"/>
    <cellStyle name="Normal 3 4 4" xfId="192"/>
    <cellStyle name="Normal 3 4 4 2" xfId="443"/>
    <cellStyle name="Normal 3 4 5" xfId="107"/>
    <cellStyle name="Normal 3 4 5 2" xfId="360"/>
    <cellStyle name="Normal 3 4 6" xfId="278"/>
    <cellStyle name="Normal 3 5" xfId="34"/>
    <cellStyle name="Normal 3 5 2" xfId="77"/>
    <cellStyle name="Normal 3 5 2 2" xfId="244"/>
    <cellStyle name="Normal 3 5 2 2 2" xfId="495"/>
    <cellStyle name="Normal 3 5 2 3" xfId="159"/>
    <cellStyle name="Normal 3 5 2 3 2" xfId="412"/>
    <cellStyle name="Normal 3 5 2 4" xfId="330"/>
    <cellStyle name="Normal 3 5 3" xfId="203"/>
    <cellStyle name="Normal 3 5 3 2" xfId="454"/>
    <cellStyle name="Normal 3 5 4" xfId="118"/>
    <cellStyle name="Normal 3 5 4 2" xfId="371"/>
    <cellStyle name="Normal 3 5 5" xfId="289"/>
    <cellStyle name="Normal 3 6" xfId="55"/>
    <cellStyle name="Normal 3 6 2" xfId="223"/>
    <cellStyle name="Normal 3 6 2 2" xfId="474"/>
    <cellStyle name="Normal 3 6 3" xfId="138"/>
    <cellStyle name="Normal 3 6 3 2" xfId="391"/>
    <cellStyle name="Normal 3 6 4" xfId="309"/>
    <cellStyle name="Normal 3 7" xfId="182"/>
    <cellStyle name="Normal 3 7 2" xfId="433"/>
    <cellStyle name="Normal 3 8" xfId="97"/>
    <cellStyle name="Normal 3 8 2" xfId="350"/>
    <cellStyle name="Normal 3 9" xfId="268"/>
    <cellStyle name="Normal 4" xfId="11"/>
    <cellStyle name="Normal 5" xfId="9"/>
    <cellStyle name="Normal 5 2" xfId="23"/>
    <cellStyle name="Normal 5 2 2" xfId="46"/>
    <cellStyle name="Normal 5 2 2 2" xfId="89"/>
    <cellStyle name="Normal 5 2 2 2 2" xfId="256"/>
    <cellStyle name="Normal 5 2 2 2 2 2" xfId="507"/>
    <cellStyle name="Normal 5 2 2 2 3" xfId="171"/>
    <cellStyle name="Normal 5 2 2 2 3 2" xfId="424"/>
    <cellStyle name="Normal 5 2 2 2 4" xfId="342"/>
    <cellStyle name="Normal 5 2 2 3" xfId="215"/>
    <cellStyle name="Normal 5 2 2 3 2" xfId="466"/>
    <cellStyle name="Normal 5 2 2 4" xfId="130"/>
    <cellStyle name="Normal 5 2 2 4 2" xfId="383"/>
    <cellStyle name="Normal 5 2 2 5" xfId="301"/>
    <cellStyle name="Normal 5 2 3" xfId="68"/>
    <cellStyle name="Normal 5 2 3 2" xfId="235"/>
    <cellStyle name="Normal 5 2 3 2 2" xfId="486"/>
    <cellStyle name="Normal 5 2 3 3" xfId="150"/>
    <cellStyle name="Normal 5 2 3 3 2" xfId="403"/>
    <cellStyle name="Normal 5 2 3 4" xfId="321"/>
    <cellStyle name="Normal 5 2 4" xfId="194"/>
    <cellStyle name="Normal 5 2 4 2" xfId="445"/>
    <cellStyle name="Normal 5 2 5" xfId="109"/>
    <cellStyle name="Normal 5 2 5 2" xfId="362"/>
    <cellStyle name="Normal 5 2 6" xfId="280"/>
    <cellStyle name="Normal 5 3" xfId="36"/>
    <cellStyle name="Normal 5 3 2" xfId="79"/>
    <cellStyle name="Normal 5 3 2 2" xfId="246"/>
    <cellStyle name="Normal 5 3 2 2 2" xfId="497"/>
    <cellStyle name="Normal 5 3 2 3" xfId="161"/>
    <cellStyle name="Normal 5 3 2 3 2" xfId="414"/>
    <cellStyle name="Normal 5 3 2 4" xfId="332"/>
    <cellStyle name="Normal 5 3 3" xfId="205"/>
    <cellStyle name="Normal 5 3 3 2" xfId="456"/>
    <cellStyle name="Normal 5 3 4" xfId="120"/>
    <cellStyle name="Normal 5 3 4 2" xfId="373"/>
    <cellStyle name="Normal 5 3 5" xfId="291"/>
    <cellStyle name="Normal 5 4" xfId="58"/>
    <cellStyle name="Normal 5 4 2" xfId="225"/>
    <cellStyle name="Normal 5 4 2 2" xfId="476"/>
    <cellStyle name="Normal 5 4 3" xfId="140"/>
    <cellStyle name="Normal 5 4 3 2" xfId="393"/>
    <cellStyle name="Normal 5 4 4" xfId="311"/>
    <cellStyle name="Normal 5 5" xfId="184"/>
    <cellStyle name="Normal 5 5 2" xfId="435"/>
    <cellStyle name="Normal 5 6" xfId="99"/>
    <cellStyle name="Normal 5 6 2" xfId="352"/>
    <cellStyle name="Normal 5 7" xfId="270"/>
    <cellStyle name="Normal 6" xfId="15"/>
    <cellStyle name="Normal 6 2" xfId="27"/>
    <cellStyle name="Normal 6 2 2" xfId="50"/>
    <cellStyle name="Normal 6 2 2 2" xfId="93"/>
    <cellStyle name="Normal 6 2 2 2 2" xfId="260"/>
    <cellStyle name="Normal 6 2 2 2 2 2" xfId="511"/>
    <cellStyle name="Normal 6 2 2 2 3" xfId="175"/>
    <cellStyle name="Normal 6 2 2 2 3 2" xfId="428"/>
    <cellStyle name="Normal 6 2 2 2 4" xfId="346"/>
    <cellStyle name="Normal 6 2 2 3" xfId="219"/>
    <cellStyle name="Normal 6 2 2 3 2" xfId="470"/>
    <cellStyle name="Normal 6 2 2 4" xfId="134"/>
    <cellStyle name="Normal 6 2 2 4 2" xfId="387"/>
    <cellStyle name="Normal 6 2 2 5" xfId="305"/>
    <cellStyle name="Normal 6 2 3" xfId="72"/>
    <cellStyle name="Normal 6 2 3 2" xfId="239"/>
    <cellStyle name="Normal 6 2 3 2 2" xfId="490"/>
    <cellStyle name="Normal 6 2 3 3" xfId="154"/>
    <cellStyle name="Normal 6 2 3 3 2" xfId="407"/>
    <cellStyle name="Normal 6 2 3 4" xfId="325"/>
    <cellStyle name="Normal 6 2 4" xfId="198"/>
    <cellStyle name="Normal 6 2 4 2" xfId="449"/>
    <cellStyle name="Normal 6 2 5" xfId="113"/>
    <cellStyle name="Normal 6 2 5 2" xfId="366"/>
    <cellStyle name="Normal 6 2 6" xfId="284"/>
    <cellStyle name="Normal 6 3" xfId="40"/>
    <cellStyle name="Normal 6 3 2" xfId="83"/>
    <cellStyle name="Normal 6 3 2 2" xfId="250"/>
    <cellStyle name="Normal 6 3 2 2 2" xfId="501"/>
    <cellStyle name="Normal 6 3 2 3" xfId="165"/>
    <cellStyle name="Normal 6 3 2 3 2" xfId="418"/>
    <cellStyle name="Normal 6 3 2 4" xfId="336"/>
    <cellStyle name="Normal 6 3 3" xfId="209"/>
    <cellStyle name="Normal 6 3 3 2" xfId="460"/>
    <cellStyle name="Normal 6 3 4" xfId="124"/>
    <cellStyle name="Normal 6 3 4 2" xfId="377"/>
    <cellStyle name="Normal 6 3 5" xfId="295"/>
    <cellStyle name="Normal 6 4" xfId="62"/>
    <cellStyle name="Normal 6 4 2" xfId="229"/>
    <cellStyle name="Normal 6 4 2 2" xfId="480"/>
    <cellStyle name="Normal 6 4 3" xfId="144"/>
    <cellStyle name="Normal 6 4 3 2" xfId="397"/>
    <cellStyle name="Normal 6 4 4" xfId="315"/>
    <cellStyle name="Normal 6 5" xfId="188"/>
    <cellStyle name="Normal 6 5 2" xfId="439"/>
    <cellStyle name="Normal 6 6" xfId="103"/>
    <cellStyle name="Normal 6 6 2" xfId="356"/>
    <cellStyle name="Normal 6 7" xfId="274"/>
    <cellStyle name="Normal 7" xfId="20"/>
    <cellStyle name="Normal 8" xfId="32"/>
    <cellStyle name="Normal 9" xfId="31"/>
    <cellStyle name="Normal 9 2" xfId="76"/>
    <cellStyle name="Normal 9 2 2" xfId="243"/>
    <cellStyle name="Normal 9 2 2 2" xfId="494"/>
    <cellStyle name="Normal 9 2 3" xfId="158"/>
    <cellStyle name="Normal 9 2 3 2" xfId="411"/>
    <cellStyle name="Normal 9 2 4" xfId="329"/>
    <cellStyle name="Normal 9 3" xfId="202"/>
    <cellStyle name="Normal 9 3 2" xfId="453"/>
    <cellStyle name="Normal 9 4" xfId="117"/>
    <cellStyle name="Normal 9 4 2" xfId="370"/>
    <cellStyle name="Normal 9 5" xfId="288"/>
    <cellStyle name="Normal_AdmissionsQuantitative" xfId="3"/>
    <cellStyle name="Normal_ApplicantsVerbal" xfId="2"/>
    <cellStyle name="Percent" xfId="1" builtinId="5"/>
    <cellStyle name="Percent 10" xfId="181"/>
    <cellStyle name="Percent 11" xfId="264"/>
    <cellStyle name="Percent 11 2" xfId="515"/>
    <cellStyle name="Percent 12" xfId="267"/>
    <cellStyle name="Percent 2" xfId="7"/>
    <cellStyle name="Percent 3" xfId="5"/>
    <cellStyle name="Percent 3 2" xfId="14"/>
    <cellStyle name="Percent 3 2 2" xfId="26"/>
    <cellStyle name="Percent 3 2 2 2" xfId="49"/>
    <cellStyle name="Percent 3 2 2 2 2" xfId="92"/>
    <cellStyle name="Percent 3 2 2 2 2 2" xfId="259"/>
    <cellStyle name="Percent 3 2 2 2 2 2 2" xfId="510"/>
    <cellStyle name="Percent 3 2 2 2 2 3" xfId="174"/>
    <cellStyle name="Percent 3 2 2 2 2 3 2" xfId="427"/>
    <cellStyle name="Percent 3 2 2 2 2 4" xfId="345"/>
    <cellStyle name="Percent 3 2 2 2 3" xfId="218"/>
    <cellStyle name="Percent 3 2 2 2 3 2" xfId="469"/>
    <cellStyle name="Percent 3 2 2 2 4" xfId="133"/>
    <cellStyle name="Percent 3 2 2 2 4 2" xfId="386"/>
    <cellStyle name="Percent 3 2 2 2 5" xfId="304"/>
    <cellStyle name="Percent 3 2 2 3" xfId="71"/>
    <cellStyle name="Percent 3 2 2 3 2" xfId="238"/>
    <cellStyle name="Percent 3 2 2 3 2 2" xfId="489"/>
    <cellStyle name="Percent 3 2 2 3 3" xfId="153"/>
    <cellStyle name="Percent 3 2 2 3 3 2" xfId="406"/>
    <cellStyle name="Percent 3 2 2 3 4" xfId="324"/>
    <cellStyle name="Percent 3 2 2 4" xfId="197"/>
    <cellStyle name="Percent 3 2 2 4 2" xfId="448"/>
    <cellStyle name="Percent 3 2 2 5" xfId="112"/>
    <cellStyle name="Percent 3 2 2 5 2" xfId="365"/>
    <cellStyle name="Percent 3 2 2 6" xfId="283"/>
    <cellStyle name="Percent 3 2 3" xfId="39"/>
    <cellStyle name="Percent 3 2 3 2" xfId="82"/>
    <cellStyle name="Percent 3 2 3 2 2" xfId="249"/>
    <cellStyle name="Percent 3 2 3 2 2 2" xfId="500"/>
    <cellStyle name="Percent 3 2 3 2 3" xfId="164"/>
    <cellStyle name="Percent 3 2 3 2 3 2" xfId="417"/>
    <cellStyle name="Percent 3 2 3 2 4" xfId="335"/>
    <cellStyle name="Percent 3 2 3 3" xfId="208"/>
    <cellStyle name="Percent 3 2 3 3 2" xfId="459"/>
    <cellStyle name="Percent 3 2 3 4" xfId="123"/>
    <cellStyle name="Percent 3 2 3 4 2" xfId="376"/>
    <cellStyle name="Percent 3 2 3 5" xfId="294"/>
    <cellStyle name="Percent 3 2 4" xfId="61"/>
    <cellStyle name="Percent 3 2 4 2" xfId="228"/>
    <cellStyle name="Percent 3 2 4 2 2" xfId="479"/>
    <cellStyle name="Percent 3 2 4 3" xfId="143"/>
    <cellStyle name="Percent 3 2 4 3 2" xfId="396"/>
    <cellStyle name="Percent 3 2 4 4" xfId="314"/>
    <cellStyle name="Percent 3 2 5" xfId="187"/>
    <cellStyle name="Percent 3 2 5 2" xfId="438"/>
    <cellStyle name="Percent 3 2 6" xfId="102"/>
    <cellStyle name="Percent 3 2 6 2" xfId="355"/>
    <cellStyle name="Percent 3 2 7" xfId="273"/>
    <cellStyle name="Percent 3 3" xfId="18"/>
    <cellStyle name="Percent 3 3 2" xfId="30"/>
    <cellStyle name="Percent 3 3 2 2" xfId="53"/>
    <cellStyle name="Percent 3 3 2 2 2" xfId="96"/>
    <cellStyle name="Percent 3 3 2 2 2 2" xfId="263"/>
    <cellStyle name="Percent 3 3 2 2 2 2 2" xfId="514"/>
    <cellStyle name="Percent 3 3 2 2 2 3" xfId="178"/>
    <cellStyle name="Percent 3 3 2 2 2 3 2" xfId="431"/>
    <cellStyle name="Percent 3 3 2 2 2 4" xfId="349"/>
    <cellStyle name="Percent 3 3 2 2 3" xfId="222"/>
    <cellStyle name="Percent 3 3 2 2 3 2" xfId="473"/>
    <cellStyle name="Percent 3 3 2 2 4" xfId="137"/>
    <cellStyle name="Percent 3 3 2 2 4 2" xfId="390"/>
    <cellStyle name="Percent 3 3 2 2 5" xfId="308"/>
    <cellStyle name="Percent 3 3 2 3" xfId="75"/>
    <cellStyle name="Percent 3 3 2 3 2" xfId="242"/>
    <cellStyle name="Percent 3 3 2 3 2 2" xfId="493"/>
    <cellStyle name="Percent 3 3 2 3 3" xfId="157"/>
    <cellStyle name="Percent 3 3 2 3 3 2" xfId="410"/>
    <cellStyle name="Percent 3 3 2 3 4" xfId="328"/>
    <cellStyle name="Percent 3 3 2 4" xfId="201"/>
    <cellStyle name="Percent 3 3 2 4 2" xfId="452"/>
    <cellStyle name="Percent 3 3 2 5" xfId="116"/>
    <cellStyle name="Percent 3 3 2 5 2" xfId="369"/>
    <cellStyle name="Percent 3 3 2 6" xfId="287"/>
    <cellStyle name="Percent 3 3 3" xfId="43"/>
    <cellStyle name="Percent 3 3 3 2" xfId="86"/>
    <cellStyle name="Percent 3 3 3 2 2" xfId="253"/>
    <cellStyle name="Percent 3 3 3 2 2 2" xfId="504"/>
    <cellStyle name="Percent 3 3 3 2 3" xfId="168"/>
    <cellStyle name="Percent 3 3 3 2 3 2" xfId="421"/>
    <cellStyle name="Percent 3 3 3 2 4" xfId="339"/>
    <cellStyle name="Percent 3 3 3 3" xfId="212"/>
    <cellStyle name="Percent 3 3 3 3 2" xfId="463"/>
    <cellStyle name="Percent 3 3 3 4" xfId="127"/>
    <cellStyle name="Percent 3 3 3 4 2" xfId="380"/>
    <cellStyle name="Percent 3 3 3 5" xfId="298"/>
    <cellStyle name="Percent 3 3 4" xfId="65"/>
    <cellStyle name="Percent 3 3 4 2" xfId="232"/>
    <cellStyle name="Percent 3 3 4 2 2" xfId="483"/>
    <cellStyle name="Percent 3 3 4 3" xfId="147"/>
    <cellStyle name="Percent 3 3 4 3 2" xfId="400"/>
    <cellStyle name="Percent 3 3 4 4" xfId="318"/>
    <cellStyle name="Percent 3 3 5" xfId="191"/>
    <cellStyle name="Percent 3 3 5 2" xfId="442"/>
    <cellStyle name="Percent 3 3 6" xfId="106"/>
    <cellStyle name="Percent 3 3 6 2" xfId="359"/>
    <cellStyle name="Percent 3 3 7" xfId="277"/>
    <cellStyle name="Percent 3 4" xfId="22"/>
    <cellStyle name="Percent 3 4 2" xfId="45"/>
    <cellStyle name="Percent 3 4 2 2" xfId="88"/>
    <cellStyle name="Percent 3 4 2 2 2" xfId="255"/>
    <cellStyle name="Percent 3 4 2 2 2 2" xfId="506"/>
    <cellStyle name="Percent 3 4 2 2 3" xfId="170"/>
    <cellStyle name="Percent 3 4 2 2 3 2" xfId="423"/>
    <cellStyle name="Percent 3 4 2 2 4" xfId="341"/>
    <cellStyle name="Percent 3 4 2 3" xfId="214"/>
    <cellStyle name="Percent 3 4 2 3 2" xfId="465"/>
    <cellStyle name="Percent 3 4 2 4" xfId="129"/>
    <cellStyle name="Percent 3 4 2 4 2" xfId="382"/>
    <cellStyle name="Percent 3 4 2 5" xfId="300"/>
    <cellStyle name="Percent 3 4 3" xfId="67"/>
    <cellStyle name="Percent 3 4 3 2" xfId="234"/>
    <cellStyle name="Percent 3 4 3 2 2" xfId="485"/>
    <cellStyle name="Percent 3 4 3 3" xfId="149"/>
    <cellStyle name="Percent 3 4 3 3 2" xfId="402"/>
    <cellStyle name="Percent 3 4 3 4" xfId="320"/>
    <cellStyle name="Percent 3 4 4" xfId="193"/>
    <cellStyle name="Percent 3 4 4 2" xfId="444"/>
    <cellStyle name="Percent 3 4 5" xfId="108"/>
    <cellStyle name="Percent 3 4 5 2" xfId="361"/>
    <cellStyle name="Percent 3 4 6" xfId="279"/>
    <cellStyle name="Percent 3 5" xfId="35"/>
    <cellStyle name="Percent 3 5 2" xfId="78"/>
    <cellStyle name="Percent 3 5 2 2" xfId="245"/>
    <cellStyle name="Percent 3 5 2 2 2" xfId="496"/>
    <cellStyle name="Percent 3 5 2 3" xfId="160"/>
    <cellStyle name="Percent 3 5 2 3 2" xfId="413"/>
    <cellStyle name="Percent 3 5 2 4" xfId="331"/>
    <cellStyle name="Percent 3 5 3" xfId="204"/>
    <cellStyle name="Percent 3 5 3 2" xfId="455"/>
    <cellStyle name="Percent 3 5 4" xfId="119"/>
    <cellStyle name="Percent 3 5 4 2" xfId="372"/>
    <cellStyle name="Percent 3 5 5" xfId="290"/>
    <cellStyle name="Percent 3 6" xfId="57"/>
    <cellStyle name="Percent 3 6 2" xfId="224"/>
    <cellStyle name="Percent 3 6 2 2" xfId="475"/>
    <cellStyle name="Percent 3 6 3" xfId="139"/>
    <cellStyle name="Percent 3 6 3 2" xfId="392"/>
    <cellStyle name="Percent 3 6 4" xfId="310"/>
    <cellStyle name="Percent 3 7" xfId="183"/>
    <cellStyle name="Percent 3 7 2" xfId="434"/>
    <cellStyle name="Percent 3 8" xfId="98"/>
    <cellStyle name="Percent 3 8 2" xfId="351"/>
    <cellStyle name="Percent 3 9" xfId="269"/>
    <cellStyle name="Percent 4" xfId="12"/>
    <cellStyle name="Percent 5" xfId="10"/>
    <cellStyle name="Percent 5 2" xfId="24"/>
    <cellStyle name="Percent 5 2 2" xfId="47"/>
    <cellStyle name="Percent 5 2 2 2" xfId="90"/>
    <cellStyle name="Percent 5 2 2 2 2" xfId="257"/>
    <cellStyle name="Percent 5 2 2 2 2 2" xfId="508"/>
    <cellStyle name="Percent 5 2 2 2 3" xfId="172"/>
    <cellStyle name="Percent 5 2 2 2 3 2" xfId="425"/>
    <cellStyle name="Percent 5 2 2 2 4" xfId="343"/>
    <cellStyle name="Percent 5 2 2 3" xfId="216"/>
    <cellStyle name="Percent 5 2 2 3 2" xfId="467"/>
    <cellStyle name="Percent 5 2 2 4" xfId="131"/>
    <cellStyle name="Percent 5 2 2 4 2" xfId="384"/>
    <cellStyle name="Percent 5 2 2 5" xfId="302"/>
    <cellStyle name="Percent 5 2 3" xfId="69"/>
    <cellStyle name="Percent 5 2 3 2" xfId="236"/>
    <cellStyle name="Percent 5 2 3 2 2" xfId="487"/>
    <cellStyle name="Percent 5 2 3 3" xfId="151"/>
    <cellStyle name="Percent 5 2 3 3 2" xfId="404"/>
    <cellStyle name="Percent 5 2 3 4" xfId="322"/>
    <cellStyle name="Percent 5 2 4" xfId="195"/>
    <cellStyle name="Percent 5 2 4 2" xfId="446"/>
    <cellStyle name="Percent 5 2 5" xfId="110"/>
    <cellStyle name="Percent 5 2 5 2" xfId="363"/>
    <cellStyle name="Percent 5 2 6" xfId="281"/>
    <cellStyle name="Percent 5 3" xfId="37"/>
    <cellStyle name="Percent 5 3 2" xfId="80"/>
    <cellStyle name="Percent 5 3 2 2" xfId="247"/>
    <cellStyle name="Percent 5 3 2 2 2" xfId="498"/>
    <cellStyle name="Percent 5 3 2 3" xfId="162"/>
    <cellStyle name="Percent 5 3 2 3 2" xfId="415"/>
    <cellStyle name="Percent 5 3 2 4" xfId="333"/>
    <cellStyle name="Percent 5 3 3" xfId="206"/>
    <cellStyle name="Percent 5 3 3 2" xfId="457"/>
    <cellStyle name="Percent 5 3 4" xfId="121"/>
    <cellStyle name="Percent 5 3 4 2" xfId="374"/>
    <cellStyle name="Percent 5 3 5" xfId="292"/>
    <cellStyle name="Percent 5 4" xfId="59"/>
    <cellStyle name="Percent 5 4 2" xfId="226"/>
    <cellStyle name="Percent 5 4 2 2" xfId="477"/>
    <cellStyle name="Percent 5 4 3" xfId="141"/>
    <cellStyle name="Percent 5 4 3 2" xfId="394"/>
    <cellStyle name="Percent 5 4 4" xfId="312"/>
    <cellStyle name="Percent 5 5" xfId="185"/>
    <cellStyle name="Percent 5 5 2" xfId="436"/>
    <cellStyle name="Percent 5 6" xfId="100"/>
    <cellStyle name="Percent 5 6 2" xfId="353"/>
    <cellStyle name="Percent 5 7" xfId="271"/>
    <cellStyle name="Percent 6" xfId="16"/>
    <cellStyle name="Percent 6 2" xfId="28"/>
    <cellStyle name="Percent 6 2 2" xfId="51"/>
    <cellStyle name="Percent 6 2 2 2" xfId="94"/>
    <cellStyle name="Percent 6 2 2 2 2" xfId="261"/>
    <cellStyle name="Percent 6 2 2 2 2 2" xfId="512"/>
    <cellStyle name="Percent 6 2 2 2 3" xfId="176"/>
    <cellStyle name="Percent 6 2 2 2 3 2" xfId="429"/>
    <cellStyle name="Percent 6 2 2 2 4" xfId="347"/>
    <cellStyle name="Percent 6 2 2 3" xfId="220"/>
    <cellStyle name="Percent 6 2 2 3 2" xfId="471"/>
    <cellStyle name="Percent 6 2 2 4" xfId="135"/>
    <cellStyle name="Percent 6 2 2 4 2" xfId="388"/>
    <cellStyle name="Percent 6 2 2 5" xfId="306"/>
    <cellStyle name="Percent 6 2 3" xfId="73"/>
    <cellStyle name="Percent 6 2 3 2" xfId="240"/>
    <cellStyle name="Percent 6 2 3 2 2" xfId="491"/>
    <cellStyle name="Percent 6 2 3 3" xfId="155"/>
    <cellStyle name="Percent 6 2 3 3 2" xfId="408"/>
    <cellStyle name="Percent 6 2 3 4" xfId="326"/>
    <cellStyle name="Percent 6 2 4" xfId="199"/>
    <cellStyle name="Percent 6 2 4 2" xfId="450"/>
    <cellStyle name="Percent 6 2 5" xfId="114"/>
    <cellStyle name="Percent 6 2 5 2" xfId="367"/>
    <cellStyle name="Percent 6 2 6" xfId="285"/>
    <cellStyle name="Percent 6 3" xfId="41"/>
    <cellStyle name="Percent 6 3 2" xfId="84"/>
    <cellStyle name="Percent 6 3 2 2" xfId="251"/>
    <cellStyle name="Percent 6 3 2 2 2" xfId="502"/>
    <cellStyle name="Percent 6 3 2 3" xfId="166"/>
    <cellStyle name="Percent 6 3 2 3 2" xfId="419"/>
    <cellStyle name="Percent 6 3 2 4" xfId="337"/>
    <cellStyle name="Percent 6 3 3" xfId="210"/>
    <cellStyle name="Percent 6 3 3 2" xfId="461"/>
    <cellStyle name="Percent 6 3 4" xfId="125"/>
    <cellStyle name="Percent 6 3 4 2" xfId="378"/>
    <cellStyle name="Percent 6 3 5" xfId="296"/>
    <cellStyle name="Percent 6 4" xfId="63"/>
    <cellStyle name="Percent 6 4 2" xfId="230"/>
    <cellStyle name="Percent 6 4 2 2" xfId="481"/>
    <cellStyle name="Percent 6 4 3" xfId="145"/>
    <cellStyle name="Percent 6 4 3 2" xfId="398"/>
    <cellStyle name="Percent 6 4 4" xfId="316"/>
    <cellStyle name="Percent 6 5" xfId="189"/>
    <cellStyle name="Percent 6 5 2" xfId="440"/>
    <cellStyle name="Percent 6 6" xfId="104"/>
    <cellStyle name="Percent 6 6 2" xfId="357"/>
    <cellStyle name="Percent 6 7" xfId="275"/>
    <cellStyle name="Percent 7" xfId="21"/>
    <cellStyle name="Percent 8" xfId="33"/>
    <cellStyle name="Percent 9" xfId="54"/>
  </cellStyles>
  <dxfs count="0"/>
  <tableStyles count="0" defaultTableStyle="TableStyleMedium9" defaultPivotStyle="PivotStyleLight16"/>
  <colors>
    <mruColors>
      <color rgb="FF008E40"/>
      <color rgb="FFE93333"/>
      <color rgb="FFFD3333"/>
      <color rgb="FFF638DF"/>
      <color rgb="FFB5394E"/>
      <color rgb="FFE73333"/>
      <color rgb="FFFFFFFF"/>
      <color rgb="FFD4768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0"/>
  <sheetViews>
    <sheetView tabSelected="1" zoomScale="89" zoomScaleNormal="89" workbookViewId="0">
      <selection activeCell="A37" sqref="A37"/>
    </sheetView>
  </sheetViews>
  <sheetFormatPr defaultColWidth="9.140625" defaultRowHeight="15" x14ac:dyDescent="0.25"/>
  <cols>
    <col min="1" max="1" width="153.140625" style="90" customWidth="1"/>
    <col min="2" max="16384" width="9.140625" style="90"/>
  </cols>
  <sheetData>
    <row r="1" spans="1:1" ht="18.75" x14ac:dyDescent="0.3">
      <c r="A1" s="653" t="s">
        <v>241</v>
      </c>
    </row>
    <row r="2" spans="1:1" ht="18.75" x14ac:dyDescent="0.3">
      <c r="A2" s="653" t="s">
        <v>396</v>
      </c>
    </row>
    <row r="3" spans="1:1" ht="15.75" x14ac:dyDescent="0.25">
      <c r="A3" s="210" t="s">
        <v>73</v>
      </c>
    </row>
    <row r="4" spans="1:1" ht="15.75" x14ac:dyDescent="0.25">
      <c r="A4" s="211" t="s">
        <v>202</v>
      </c>
    </row>
    <row r="5" spans="1:1" ht="15.75" x14ac:dyDescent="0.25">
      <c r="A5" s="212" t="s">
        <v>242</v>
      </c>
    </row>
    <row r="6" spans="1:1" ht="15.75" x14ac:dyDescent="0.25">
      <c r="A6" s="212" t="s">
        <v>220</v>
      </c>
    </row>
    <row r="7" spans="1:1" ht="15.75" x14ac:dyDescent="0.25">
      <c r="A7" s="211" t="s">
        <v>203</v>
      </c>
    </row>
    <row r="8" spans="1:1" ht="15.75" x14ac:dyDescent="0.25">
      <c r="A8" s="212" t="s">
        <v>299</v>
      </c>
    </row>
    <row r="9" spans="1:1" ht="15.75" x14ac:dyDescent="0.25">
      <c r="A9" s="212" t="s">
        <v>220</v>
      </c>
    </row>
    <row r="10" spans="1:1" ht="31.5" x14ac:dyDescent="0.25">
      <c r="A10" s="213" t="s">
        <v>329</v>
      </c>
    </row>
    <row r="11" spans="1:1" ht="15.75" x14ac:dyDescent="0.25">
      <c r="A11" s="211" t="s">
        <v>294</v>
      </c>
    </row>
    <row r="12" spans="1:1" ht="15.75" x14ac:dyDescent="0.25">
      <c r="A12" s="212" t="s">
        <v>300</v>
      </c>
    </row>
    <row r="13" spans="1:1" ht="15.75" x14ac:dyDescent="0.25">
      <c r="A13" s="212" t="s">
        <v>221</v>
      </c>
    </row>
    <row r="14" spans="1:1" ht="15.75" x14ac:dyDescent="0.25">
      <c r="A14" s="212" t="s">
        <v>223</v>
      </c>
    </row>
    <row r="15" spans="1:1" ht="15.75" x14ac:dyDescent="0.25">
      <c r="A15" s="211" t="s">
        <v>295</v>
      </c>
    </row>
    <row r="16" spans="1:1" ht="15.75" x14ac:dyDescent="0.25">
      <c r="A16" s="212" t="s">
        <v>243</v>
      </c>
    </row>
    <row r="17" spans="1:1" ht="15.75" x14ac:dyDescent="0.25">
      <c r="A17" s="212" t="s">
        <v>222</v>
      </c>
    </row>
    <row r="18" spans="1:1" ht="15.75" x14ac:dyDescent="0.25">
      <c r="A18" s="212" t="s">
        <v>330</v>
      </c>
    </row>
    <row r="19" spans="1:1" ht="15.75" x14ac:dyDescent="0.25">
      <c r="A19" s="210" t="s">
        <v>138</v>
      </c>
    </row>
    <row r="20" spans="1:1" ht="15.75" x14ac:dyDescent="0.25">
      <c r="A20" s="211" t="s">
        <v>331</v>
      </c>
    </row>
    <row r="21" spans="1:1" ht="15.75" x14ac:dyDescent="0.25">
      <c r="A21" s="212" t="s">
        <v>301</v>
      </c>
    </row>
    <row r="22" spans="1:1" ht="15.75" x14ac:dyDescent="0.25">
      <c r="A22" s="212" t="s">
        <v>220</v>
      </c>
    </row>
    <row r="23" spans="1:1" ht="15.75" x14ac:dyDescent="0.25">
      <c r="A23" s="211" t="s">
        <v>346</v>
      </c>
    </row>
    <row r="24" spans="1:1" ht="15.75" x14ac:dyDescent="0.25">
      <c r="A24" s="212" t="s">
        <v>302</v>
      </c>
    </row>
    <row r="25" spans="1:1" ht="15.75" x14ac:dyDescent="0.25">
      <c r="A25" s="212" t="s">
        <v>220</v>
      </c>
    </row>
    <row r="26" spans="1:1" ht="15.75" x14ac:dyDescent="0.25">
      <c r="A26" s="212" t="s">
        <v>245</v>
      </c>
    </row>
    <row r="27" spans="1:1" ht="15.75" x14ac:dyDescent="0.25">
      <c r="A27" s="210" t="s">
        <v>74</v>
      </c>
    </row>
    <row r="28" spans="1:1" ht="15.75" x14ac:dyDescent="0.25">
      <c r="A28" s="211" t="s">
        <v>345</v>
      </c>
    </row>
    <row r="29" spans="1:1" ht="15.75" x14ac:dyDescent="0.25">
      <c r="A29" s="212" t="s">
        <v>303</v>
      </c>
    </row>
    <row r="30" spans="1:1" ht="15.75" x14ac:dyDescent="0.25">
      <c r="A30" s="212" t="s">
        <v>220</v>
      </c>
    </row>
    <row r="31" spans="1:1" ht="15.75" x14ac:dyDescent="0.25">
      <c r="A31" s="212" t="s">
        <v>230</v>
      </c>
    </row>
    <row r="32" spans="1:1" ht="15.75" x14ac:dyDescent="0.25">
      <c r="A32" s="211" t="s">
        <v>247</v>
      </c>
    </row>
    <row r="33" spans="1:1" ht="15.75" x14ac:dyDescent="0.25">
      <c r="A33" s="212" t="s">
        <v>304</v>
      </c>
    </row>
    <row r="34" spans="1:1" ht="15.75" x14ac:dyDescent="0.25">
      <c r="A34" s="212" t="s">
        <v>224</v>
      </c>
    </row>
    <row r="35" spans="1:1" ht="15.75" x14ac:dyDescent="0.25">
      <c r="A35" s="211" t="s">
        <v>248</v>
      </c>
    </row>
    <row r="36" spans="1:1" ht="15.75" x14ac:dyDescent="0.25">
      <c r="A36" s="212" t="s">
        <v>225</v>
      </c>
    </row>
    <row r="37" spans="1:1" ht="15.75" x14ac:dyDescent="0.25">
      <c r="A37" s="212" t="s">
        <v>332</v>
      </c>
    </row>
    <row r="38" spans="1:1" ht="15.75" x14ac:dyDescent="0.25">
      <c r="A38" s="212"/>
    </row>
    <row r="39" spans="1:1" ht="18.75" x14ac:dyDescent="0.3">
      <c r="A39" s="653" t="s">
        <v>397</v>
      </c>
    </row>
    <row r="40" spans="1:1" ht="15.75" customHeight="1" x14ac:dyDescent="0.25">
      <c r="A40" s="210" t="s">
        <v>117</v>
      </c>
    </row>
    <row r="41" spans="1:1" ht="15.75" customHeight="1" x14ac:dyDescent="0.25">
      <c r="A41" s="210" t="s">
        <v>204</v>
      </c>
    </row>
    <row r="42" spans="1:1" ht="15.75" customHeight="1" x14ac:dyDescent="0.25">
      <c r="A42" s="212" t="s">
        <v>221</v>
      </c>
    </row>
    <row r="43" spans="1:1" ht="15.75" customHeight="1" x14ac:dyDescent="0.25">
      <c r="A43" s="212" t="s">
        <v>249</v>
      </c>
    </row>
    <row r="44" spans="1:1" ht="15.75" customHeight="1" x14ac:dyDescent="0.25">
      <c r="A44" s="210" t="s">
        <v>205</v>
      </c>
    </row>
    <row r="45" spans="1:1" ht="15.75" customHeight="1" x14ac:dyDescent="0.25">
      <c r="A45" s="212" t="s">
        <v>221</v>
      </c>
    </row>
    <row r="46" spans="1:1" ht="15.75" customHeight="1" x14ac:dyDescent="0.25">
      <c r="A46" s="212" t="s">
        <v>250</v>
      </c>
    </row>
    <row r="47" spans="1:1" ht="15.75" customHeight="1" x14ac:dyDescent="0.25">
      <c r="A47" s="210" t="s">
        <v>333</v>
      </c>
    </row>
    <row r="48" spans="1:1" ht="15.75" customHeight="1" x14ac:dyDescent="0.25">
      <c r="A48" s="212" t="s">
        <v>222</v>
      </c>
    </row>
    <row r="49" spans="1:1" ht="15.75" customHeight="1" x14ac:dyDescent="0.25">
      <c r="A49" s="212" t="s">
        <v>251</v>
      </c>
    </row>
    <row r="50" spans="1:1" ht="15.75" x14ac:dyDescent="0.25">
      <c r="A50" s="210" t="s">
        <v>118</v>
      </c>
    </row>
    <row r="51" spans="1:1" ht="15.75" x14ac:dyDescent="0.25">
      <c r="A51" s="214" t="s">
        <v>206</v>
      </c>
    </row>
    <row r="52" spans="1:1" ht="15.75" x14ac:dyDescent="0.25">
      <c r="A52" s="212" t="s">
        <v>221</v>
      </c>
    </row>
    <row r="53" spans="1:1" ht="19.5" customHeight="1" x14ac:dyDescent="0.25">
      <c r="A53" s="213" t="s">
        <v>252</v>
      </c>
    </row>
    <row r="54" spans="1:1" ht="15.75" x14ac:dyDescent="0.25">
      <c r="A54" s="214" t="s">
        <v>207</v>
      </c>
    </row>
    <row r="55" spans="1:1" ht="15.75" x14ac:dyDescent="0.25">
      <c r="A55" s="212" t="s">
        <v>221</v>
      </c>
    </row>
    <row r="56" spans="1:1" ht="15.75" x14ac:dyDescent="0.25">
      <c r="A56" s="213" t="s">
        <v>334</v>
      </c>
    </row>
    <row r="57" spans="1:1" ht="15.75" x14ac:dyDescent="0.25">
      <c r="A57" s="215" t="s">
        <v>208</v>
      </c>
    </row>
    <row r="58" spans="1:1" ht="15.75" x14ac:dyDescent="0.25">
      <c r="A58" s="212" t="s">
        <v>221</v>
      </c>
    </row>
    <row r="59" spans="1:1" ht="19.5" customHeight="1" x14ac:dyDescent="0.25">
      <c r="A59" s="213" t="s">
        <v>253</v>
      </c>
    </row>
    <row r="60" spans="1:1" ht="15.75" x14ac:dyDescent="0.25">
      <c r="A60" s="215" t="s">
        <v>210</v>
      </c>
    </row>
    <row r="61" spans="1:1" ht="15.75" x14ac:dyDescent="0.25">
      <c r="A61" s="212" t="s">
        <v>221</v>
      </c>
    </row>
    <row r="62" spans="1:1" ht="18" customHeight="1" x14ac:dyDescent="0.25">
      <c r="A62" s="213" t="s">
        <v>254</v>
      </c>
    </row>
    <row r="63" spans="1:1" ht="15.75" x14ac:dyDescent="0.25">
      <c r="A63" s="215" t="s">
        <v>209</v>
      </c>
    </row>
    <row r="64" spans="1:1" ht="15.75" x14ac:dyDescent="0.25">
      <c r="A64" s="212" t="s">
        <v>221</v>
      </c>
    </row>
    <row r="65" spans="1:1" ht="18.75" customHeight="1" x14ac:dyDescent="0.25">
      <c r="A65" s="213" t="s">
        <v>255</v>
      </c>
    </row>
    <row r="66" spans="1:1" ht="15.75" x14ac:dyDescent="0.25">
      <c r="A66" s="214" t="s">
        <v>214</v>
      </c>
    </row>
    <row r="67" spans="1:1" ht="15.75" x14ac:dyDescent="0.25">
      <c r="A67" s="212" t="s">
        <v>221</v>
      </c>
    </row>
    <row r="68" spans="1:1" ht="31.5" x14ac:dyDescent="0.25">
      <c r="A68" s="213" t="s">
        <v>256</v>
      </c>
    </row>
    <row r="69" spans="1:1" ht="15.75" x14ac:dyDescent="0.25">
      <c r="A69" s="214" t="s">
        <v>211</v>
      </c>
    </row>
    <row r="70" spans="1:1" ht="15.75" x14ac:dyDescent="0.25">
      <c r="A70" s="212" t="s">
        <v>221</v>
      </c>
    </row>
    <row r="71" spans="1:1" ht="17.25" customHeight="1" x14ac:dyDescent="0.25">
      <c r="A71" s="213" t="s">
        <v>257</v>
      </c>
    </row>
    <row r="72" spans="1:1" ht="15.75" x14ac:dyDescent="0.25">
      <c r="A72" s="214" t="s">
        <v>212</v>
      </c>
    </row>
    <row r="73" spans="1:1" ht="15.75" x14ac:dyDescent="0.25">
      <c r="A73" s="212" t="s">
        <v>221</v>
      </c>
    </row>
    <row r="74" spans="1:1" ht="15.75" x14ac:dyDescent="0.25">
      <c r="A74" s="213" t="s">
        <v>258</v>
      </c>
    </row>
    <row r="75" spans="1:1" ht="15.75" x14ac:dyDescent="0.25">
      <c r="A75" s="214" t="s">
        <v>213</v>
      </c>
    </row>
    <row r="76" spans="1:1" ht="15.75" x14ac:dyDescent="0.25">
      <c r="A76" s="212" t="s">
        <v>221</v>
      </c>
    </row>
    <row r="77" spans="1:1" ht="31.5" x14ac:dyDescent="0.25">
      <c r="A77" s="213" t="s">
        <v>259</v>
      </c>
    </row>
    <row r="78" spans="1:1" ht="15.75" x14ac:dyDescent="0.25">
      <c r="A78" s="219" t="s">
        <v>150</v>
      </c>
    </row>
    <row r="79" spans="1:1" ht="15.75" x14ac:dyDescent="0.25">
      <c r="A79" s="215" t="s">
        <v>260</v>
      </c>
    </row>
    <row r="80" spans="1:1" ht="15.75" x14ac:dyDescent="0.25">
      <c r="A80" s="212" t="s">
        <v>237</v>
      </c>
    </row>
    <row r="81" spans="1:1" ht="15.75" x14ac:dyDescent="0.25">
      <c r="A81" s="212" t="s">
        <v>261</v>
      </c>
    </row>
    <row r="82" spans="1:1" ht="15.75" x14ac:dyDescent="0.25">
      <c r="A82" s="220" t="s">
        <v>119</v>
      </c>
    </row>
    <row r="83" spans="1:1" ht="15.75" x14ac:dyDescent="0.25">
      <c r="A83" s="216" t="s">
        <v>231</v>
      </c>
    </row>
    <row r="84" spans="1:1" ht="15.75" x14ac:dyDescent="0.25">
      <c r="A84" s="212" t="s">
        <v>221</v>
      </c>
    </row>
    <row r="85" spans="1:1" ht="31.5" x14ac:dyDescent="0.25">
      <c r="A85" s="213" t="s">
        <v>335</v>
      </c>
    </row>
    <row r="86" spans="1:1" ht="15.75" x14ac:dyDescent="0.25">
      <c r="A86" s="216" t="s">
        <v>234</v>
      </c>
    </row>
    <row r="87" spans="1:1" ht="15.75" x14ac:dyDescent="0.25">
      <c r="A87" s="212" t="s">
        <v>221</v>
      </c>
    </row>
    <row r="88" spans="1:1" ht="31.5" x14ac:dyDescent="0.25">
      <c r="A88" s="213" t="s">
        <v>290</v>
      </c>
    </row>
    <row r="89" spans="1:1" ht="15.75" x14ac:dyDescent="0.25">
      <c r="A89" s="216" t="s">
        <v>233</v>
      </c>
    </row>
    <row r="90" spans="1:1" ht="15.75" x14ac:dyDescent="0.25">
      <c r="A90" s="212" t="s">
        <v>221</v>
      </c>
    </row>
    <row r="91" spans="1:1" ht="31.5" x14ac:dyDescent="0.25">
      <c r="A91" s="213" t="s">
        <v>291</v>
      </c>
    </row>
    <row r="92" spans="1:1" ht="15.75" x14ac:dyDescent="0.25">
      <c r="A92" s="216" t="s">
        <v>235</v>
      </c>
    </row>
    <row r="93" spans="1:1" ht="15.75" x14ac:dyDescent="0.25">
      <c r="A93" s="212" t="s">
        <v>226</v>
      </c>
    </row>
    <row r="94" spans="1:1" ht="15.75" x14ac:dyDescent="0.25">
      <c r="A94" s="212" t="s">
        <v>292</v>
      </c>
    </row>
    <row r="95" spans="1:1" ht="15.75" x14ac:dyDescent="0.25">
      <c r="A95" s="216" t="s">
        <v>232</v>
      </c>
    </row>
    <row r="96" spans="1:1" ht="15.75" x14ac:dyDescent="0.25">
      <c r="A96" s="212" t="s">
        <v>226</v>
      </c>
    </row>
    <row r="97" spans="1:1" ht="15.75" x14ac:dyDescent="0.25">
      <c r="A97" s="212" t="s">
        <v>293</v>
      </c>
    </row>
    <row r="98" spans="1:1" ht="15.75" x14ac:dyDescent="0.25">
      <c r="A98" s="216" t="s">
        <v>344</v>
      </c>
    </row>
    <row r="99" spans="1:1" ht="31.5" x14ac:dyDescent="0.25">
      <c r="A99" s="213" t="s">
        <v>262</v>
      </c>
    </row>
    <row r="100" spans="1:1" ht="15.75" x14ac:dyDescent="0.25">
      <c r="A100" s="216" t="s">
        <v>343</v>
      </c>
    </row>
    <row r="101" spans="1:1" ht="15.75" x14ac:dyDescent="0.25">
      <c r="A101" s="291" t="s">
        <v>244</v>
      </c>
    </row>
    <row r="102" spans="1:1" ht="31.5" x14ac:dyDescent="0.25">
      <c r="A102" s="292" t="s">
        <v>289</v>
      </c>
    </row>
    <row r="103" spans="1:1" ht="15.75" x14ac:dyDescent="0.25">
      <c r="A103" s="291" t="s">
        <v>245</v>
      </c>
    </row>
    <row r="104" spans="1:1" ht="15.75" x14ac:dyDescent="0.25">
      <c r="A104" s="216" t="s">
        <v>342</v>
      </c>
    </row>
    <row r="105" spans="1:1" ht="15.75" x14ac:dyDescent="0.25">
      <c r="A105" s="291" t="s">
        <v>246</v>
      </c>
    </row>
    <row r="106" spans="1:1" ht="31.5" x14ac:dyDescent="0.25">
      <c r="A106" s="292" t="s">
        <v>262</v>
      </c>
    </row>
    <row r="107" spans="1:1" ht="15.75" x14ac:dyDescent="0.25">
      <c r="A107" s="291" t="s">
        <v>230</v>
      </c>
    </row>
    <row r="108" spans="1:1" ht="15.75" x14ac:dyDescent="0.25">
      <c r="A108" s="293" t="s">
        <v>236</v>
      </c>
    </row>
    <row r="109" spans="1:1" ht="15.75" x14ac:dyDescent="0.25">
      <c r="A109" s="218" t="s">
        <v>276</v>
      </c>
    </row>
    <row r="110" spans="1:1" ht="15.75" x14ac:dyDescent="0.25">
      <c r="A110" s="212" t="s">
        <v>238</v>
      </c>
    </row>
    <row r="111" spans="1:1" ht="15.75" x14ac:dyDescent="0.25">
      <c r="A111" s="218" t="s">
        <v>277</v>
      </c>
    </row>
    <row r="112" spans="1:1" ht="15.75" x14ac:dyDescent="0.25">
      <c r="A112" s="212" t="s">
        <v>238</v>
      </c>
    </row>
    <row r="113" spans="1:1" ht="15.75" x14ac:dyDescent="0.25">
      <c r="A113" s="212" t="s">
        <v>336</v>
      </c>
    </row>
    <row r="114" spans="1:1" ht="15.75" x14ac:dyDescent="0.25">
      <c r="A114" s="219" t="s">
        <v>263</v>
      </c>
    </row>
    <row r="115" spans="1:1" ht="15.75" x14ac:dyDescent="0.25">
      <c r="A115" s="217" t="s">
        <v>284</v>
      </c>
    </row>
    <row r="116" spans="1:1" ht="15.75" x14ac:dyDescent="0.25">
      <c r="A116" s="212" t="s">
        <v>337</v>
      </c>
    </row>
    <row r="117" spans="1:1" ht="15.75" x14ac:dyDescent="0.25">
      <c r="A117" s="217" t="s">
        <v>278</v>
      </c>
    </row>
    <row r="118" spans="1:1" ht="15.75" x14ac:dyDescent="0.25">
      <c r="A118" s="212" t="s">
        <v>338</v>
      </c>
    </row>
    <row r="119" spans="1:1" ht="15.75" x14ac:dyDescent="0.25">
      <c r="A119" s="217" t="s">
        <v>279</v>
      </c>
    </row>
    <row r="120" spans="1:1" ht="15.75" x14ac:dyDescent="0.25">
      <c r="A120" s="212" t="s">
        <v>339</v>
      </c>
    </row>
    <row r="121" spans="1:1" ht="15.75" x14ac:dyDescent="0.25">
      <c r="A121" s="217" t="s">
        <v>280</v>
      </c>
    </row>
    <row r="122" spans="1:1" ht="15.75" x14ac:dyDescent="0.25">
      <c r="A122" s="212" t="s">
        <v>264</v>
      </c>
    </row>
    <row r="123" spans="1:1" ht="15.75" x14ac:dyDescent="0.25">
      <c r="A123" s="212" t="s">
        <v>227</v>
      </c>
    </row>
    <row r="124" spans="1:1" ht="15.75" x14ac:dyDescent="0.25">
      <c r="A124" s="218" t="s">
        <v>281</v>
      </c>
    </row>
    <row r="125" spans="1:1" ht="15.75" x14ac:dyDescent="0.25">
      <c r="A125" s="212" t="s">
        <v>265</v>
      </c>
    </row>
    <row r="126" spans="1:1" ht="15.75" x14ac:dyDescent="0.25">
      <c r="A126" s="210" t="s">
        <v>91</v>
      </c>
    </row>
    <row r="127" spans="1:1" ht="15.75" x14ac:dyDescent="0.25">
      <c r="A127" s="218" t="s">
        <v>282</v>
      </c>
    </row>
    <row r="128" spans="1:1" ht="15.75" x14ac:dyDescent="0.25">
      <c r="A128" s="212" t="s">
        <v>228</v>
      </c>
    </row>
    <row r="129" spans="1:1" ht="15.75" x14ac:dyDescent="0.25">
      <c r="A129" s="218" t="s">
        <v>283</v>
      </c>
    </row>
    <row r="130" spans="1:1" ht="15.75" x14ac:dyDescent="0.25">
      <c r="A130" s="212" t="s">
        <v>229</v>
      </c>
    </row>
    <row r="131" spans="1:1" ht="15.75" x14ac:dyDescent="0.25">
      <c r="A131" s="212" t="s">
        <v>341</v>
      </c>
    </row>
    <row r="132" spans="1:1" ht="15.75" x14ac:dyDescent="0.25">
      <c r="A132" s="218" t="s">
        <v>285</v>
      </c>
    </row>
    <row r="133" spans="1:1" ht="15.75" x14ac:dyDescent="0.25">
      <c r="A133" s="212" t="s">
        <v>228</v>
      </c>
    </row>
    <row r="134" spans="1:1" ht="15.75" x14ac:dyDescent="0.25">
      <c r="A134" s="218" t="s">
        <v>286</v>
      </c>
    </row>
    <row r="135" spans="1:1" ht="15.75" x14ac:dyDescent="0.25">
      <c r="A135" s="212" t="s">
        <v>229</v>
      </c>
    </row>
    <row r="136" spans="1:1" ht="15.75" x14ac:dyDescent="0.25">
      <c r="A136" s="212" t="s">
        <v>340</v>
      </c>
    </row>
    <row r="137" spans="1:1" ht="15.75" x14ac:dyDescent="0.25">
      <c r="A137" s="214"/>
    </row>
    <row r="138" spans="1:1" ht="15.75" x14ac:dyDescent="0.25">
      <c r="A138" s="214"/>
    </row>
    <row r="139" spans="1:1" ht="15.75" x14ac:dyDescent="0.25">
      <c r="A139" s="214" t="s">
        <v>0</v>
      </c>
    </row>
    <row r="140" spans="1:1" ht="15.75" x14ac:dyDescent="0.25">
      <c r="A140" s="214"/>
    </row>
  </sheetData>
  <sheetProtection password="EC77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NV1841"/>
  <sheetViews>
    <sheetView topLeftCell="K1" zoomScaleNormal="100" workbookViewId="0">
      <pane ySplit="6" topLeftCell="A7" activePane="bottomLeft" state="frozen"/>
      <selection pane="bottomLeft" activeCell="P10" sqref="P10"/>
    </sheetView>
  </sheetViews>
  <sheetFormatPr defaultRowHeight="15" x14ac:dyDescent="0.25"/>
  <cols>
    <col min="1" max="1" width="40.85546875" style="230" customWidth="1"/>
    <col min="2" max="2" width="11.28515625" style="53" customWidth="1"/>
    <col min="3" max="3" width="11" style="55" customWidth="1"/>
    <col min="4" max="4" width="18.28515625" style="53" customWidth="1"/>
    <col min="5" max="5" width="17.42578125" style="17" customWidth="1"/>
    <col min="6" max="6" width="19.28515625" style="134" customWidth="1"/>
    <col min="7" max="7" width="23.42578125" style="202" customWidth="1"/>
    <col min="8" max="8" width="22.28515625" style="144" customWidth="1"/>
    <col min="9" max="9" width="18" style="17" customWidth="1"/>
    <col min="10" max="10" width="19.28515625" style="146" customWidth="1"/>
    <col min="11" max="11" width="21.28515625" style="147" customWidth="1"/>
    <col min="12" max="12" width="20.7109375" style="150" customWidth="1"/>
    <col min="13" max="13" width="20.7109375" customWidth="1"/>
    <col min="14" max="14" width="9.85546875" customWidth="1"/>
    <col min="15" max="15" width="10.42578125" customWidth="1"/>
    <col min="16" max="16" width="10.7109375" customWidth="1"/>
    <col min="17" max="17" width="5.5703125" style="17" customWidth="1"/>
    <col min="18" max="18" width="45.5703125" bestFit="1" customWidth="1"/>
    <col min="21" max="1738" width="9.140625" style="17"/>
  </cols>
  <sheetData>
    <row r="1" spans="1:18" ht="18.75" x14ac:dyDescent="0.25">
      <c r="A1" s="787" t="s">
        <v>266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9"/>
      <c r="Q1" s="37"/>
      <c r="R1" s="784" t="s">
        <v>0</v>
      </c>
    </row>
    <row r="2" spans="1:18" ht="15" customHeight="1" x14ac:dyDescent="0.25">
      <c r="A2" s="225" t="s">
        <v>0</v>
      </c>
      <c r="B2" s="186"/>
      <c r="C2" s="186"/>
      <c r="D2" s="186"/>
      <c r="E2" s="795" t="s">
        <v>143</v>
      </c>
      <c r="F2" s="796"/>
      <c r="G2" s="796"/>
      <c r="H2" s="796"/>
      <c r="I2" s="796"/>
      <c r="J2" s="796"/>
      <c r="K2" s="796"/>
      <c r="L2" s="796"/>
      <c r="M2" s="797"/>
      <c r="N2" s="804" t="s">
        <v>201</v>
      </c>
      <c r="O2" s="805"/>
      <c r="P2" s="805"/>
      <c r="Q2" s="37"/>
      <c r="R2" s="785"/>
    </row>
    <row r="3" spans="1:18" ht="15" customHeight="1" x14ac:dyDescent="0.25">
      <c r="A3" s="225" t="s">
        <v>0</v>
      </c>
      <c r="B3" s="186"/>
      <c r="C3" s="186"/>
      <c r="D3" s="186"/>
      <c r="E3" s="798"/>
      <c r="F3" s="799"/>
      <c r="G3" s="799"/>
      <c r="H3" s="799"/>
      <c r="I3" s="799"/>
      <c r="J3" s="799"/>
      <c r="K3" s="799"/>
      <c r="L3" s="799"/>
      <c r="M3" s="800"/>
      <c r="N3" s="806"/>
      <c r="O3" s="806"/>
      <c r="P3" s="806"/>
      <c r="Q3" s="37"/>
      <c r="R3" s="785"/>
    </row>
    <row r="4" spans="1:18" ht="14.45" customHeight="1" x14ac:dyDescent="0.25">
      <c r="A4" s="225"/>
      <c r="B4" s="186" t="s">
        <v>0</v>
      </c>
      <c r="C4" s="186"/>
      <c r="D4" s="186"/>
      <c r="E4" s="790" t="s">
        <v>1</v>
      </c>
      <c r="F4" s="791"/>
      <c r="G4" s="791"/>
      <c r="H4" s="792"/>
      <c r="I4" s="793" t="s">
        <v>139</v>
      </c>
      <c r="J4" s="794"/>
      <c r="K4" s="801" t="s">
        <v>155</v>
      </c>
      <c r="L4" s="802"/>
      <c r="M4" s="803"/>
      <c r="N4" s="806"/>
      <c r="O4" s="806"/>
      <c r="P4" s="806"/>
      <c r="Q4" s="37"/>
      <c r="R4" s="785"/>
    </row>
    <row r="5" spans="1:18" ht="18.75" customHeight="1" x14ac:dyDescent="0.25">
      <c r="A5" s="225"/>
      <c r="B5" s="186"/>
      <c r="C5" s="186"/>
      <c r="D5" s="186"/>
      <c r="E5" s="187">
        <v>1</v>
      </c>
      <c r="F5" s="187">
        <v>2</v>
      </c>
      <c r="G5" s="187">
        <v>3</v>
      </c>
      <c r="H5" s="187">
        <v>4</v>
      </c>
      <c r="I5" s="188">
        <v>5</v>
      </c>
      <c r="J5" s="188">
        <v>6</v>
      </c>
      <c r="K5" s="189">
        <v>7</v>
      </c>
      <c r="L5" s="190">
        <v>8</v>
      </c>
      <c r="M5" s="191">
        <v>9</v>
      </c>
      <c r="N5" s="806"/>
      <c r="O5" s="806"/>
      <c r="P5" s="806"/>
      <c r="Q5" s="37"/>
      <c r="R5" s="786"/>
    </row>
    <row r="6" spans="1:18" s="451" customFormat="1" ht="169.5" customHeight="1" x14ac:dyDescent="0.25">
      <c r="A6" s="664" t="s">
        <v>142</v>
      </c>
      <c r="B6" s="664" t="s">
        <v>3</v>
      </c>
      <c r="C6" s="664" t="s">
        <v>89</v>
      </c>
      <c r="D6" s="268" t="s">
        <v>384</v>
      </c>
      <c r="E6" s="426" t="s">
        <v>387</v>
      </c>
      <c r="F6" s="268" t="s">
        <v>378</v>
      </c>
      <c r="G6" s="269" t="s">
        <v>385</v>
      </c>
      <c r="H6" s="270" t="s">
        <v>379</v>
      </c>
      <c r="I6" s="268" t="s">
        <v>380</v>
      </c>
      <c r="J6" s="406" t="s">
        <v>381</v>
      </c>
      <c r="K6" s="407" t="s">
        <v>382</v>
      </c>
      <c r="L6" s="268" t="s">
        <v>386</v>
      </c>
      <c r="M6" s="268" t="s">
        <v>383</v>
      </c>
      <c r="N6" s="783" t="s">
        <v>78</v>
      </c>
      <c r="O6" s="783" t="s">
        <v>79</v>
      </c>
      <c r="P6" s="783" t="s">
        <v>156</v>
      </c>
      <c r="Q6" s="259"/>
      <c r="R6" s="664" t="s">
        <v>142</v>
      </c>
    </row>
    <row r="7" spans="1:18" s="17" customFormat="1" ht="15" customHeight="1" x14ac:dyDescent="0.25">
      <c r="A7" s="140" t="s">
        <v>153</v>
      </c>
      <c r="B7" s="15" t="s">
        <v>5</v>
      </c>
      <c r="C7" s="118">
        <v>333</v>
      </c>
      <c r="D7" s="472">
        <v>15.5</v>
      </c>
      <c r="E7" s="299">
        <v>36</v>
      </c>
      <c r="F7" s="431">
        <v>0.25</v>
      </c>
      <c r="G7" s="243">
        <v>0.47099999999999997</v>
      </c>
      <c r="H7" s="14">
        <v>0.66669999999999996</v>
      </c>
      <c r="I7" s="283">
        <v>3</v>
      </c>
      <c r="J7" s="244">
        <v>0.16666666666666666</v>
      </c>
      <c r="K7" s="244">
        <v>0.66666666666666663</v>
      </c>
      <c r="L7" s="246">
        <v>6</v>
      </c>
      <c r="M7" s="251">
        <v>0.25806451612903225</v>
      </c>
      <c r="N7" s="440">
        <v>3</v>
      </c>
      <c r="O7" s="440">
        <v>1</v>
      </c>
      <c r="P7" s="440">
        <v>2</v>
      </c>
      <c r="Q7" s="39"/>
      <c r="R7" s="140" t="s">
        <v>153</v>
      </c>
    </row>
    <row r="8" spans="1:18" x14ac:dyDescent="0.25">
      <c r="A8" s="140" t="s">
        <v>154</v>
      </c>
      <c r="B8" s="15" t="s">
        <v>172</v>
      </c>
      <c r="C8" s="118">
        <v>332</v>
      </c>
      <c r="D8" s="473">
        <v>26</v>
      </c>
      <c r="E8" s="300">
        <v>59</v>
      </c>
      <c r="F8" s="431">
        <v>5.0847457627118647E-2</v>
      </c>
      <c r="G8" s="243">
        <v>0.41099999999999998</v>
      </c>
      <c r="H8" s="14">
        <v>0.68059999999999998</v>
      </c>
      <c r="I8" s="283">
        <v>4.3</v>
      </c>
      <c r="J8" s="244">
        <v>0.33333333333333331</v>
      </c>
      <c r="K8" s="244">
        <v>0.6333333333333333</v>
      </c>
      <c r="L8" s="246">
        <v>9</v>
      </c>
      <c r="M8" s="252">
        <v>0.34615384615384615</v>
      </c>
      <c r="N8" s="440">
        <v>1</v>
      </c>
      <c r="O8" s="440">
        <v>1</v>
      </c>
      <c r="P8" s="440">
        <v>0</v>
      </c>
      <c r="Q8" s="39"/>
      <c r="R8" s="140" t="s">
        <v>154</v>
      </c>
    </row>
    <row r="9" spans="1:18" s="17" customFormat="1" ht="15" customHeight="1" x14ac:dyDescent="0.25">
      <c r="A9" s="140" t="s">
        <v>15</v>
      </c>
      <c r="B9" s="15" t="s">
        <v>5</v>
      </c>
      <c r="C9" s="118">
        <v>334</v>
      </c>
      <c r="D9" s="472">
        <v>13</v>
      </c>
      <c r="E9" s="299">
        <v>23</v>
      </c>
      <c r="F9" s="431">
        <v>4.3478260869565216E-2</v>
      </c>
      <c r="G9" s="486">
        <v>0.39700000000000002</v>
      </c>
      <c r="H9" s="487">
        <v>0.68</v>
      </c>
      <c r="I9" s="283">
        <v>3.9</v>
      </c>
      <c r="J9" s="244">
        <v>0.125</v>
      </c>
      <c r="K9" s="244">
        <v>0.8125</v>
      </c>
      <c r="L9" s="246">
        <v>3</v>
      </c>
      <c r="M9" s="251">
        <v>0.23076923076923078</v>
      </c>
      <c r="N9" s="440">
        <v>3</v>
      </c>
      <c r="O9" s="440">
        <v>3</v>
      </c>
      <c r="P9" s="440">
        <v>0</v>
      </c>
      <c r="Q9" s="39"/>
      <c r="R9" s="140" t="s">
        <v>15</v>
      </c>
    </row>
    <row r="10" spans="1:18" s="17" customFormat="1" ht="14.25" customHeight="1" x14ac:dyDescent="0.25">
      <c r="A10" s="140" t="s">
        <v>4</v>
      </c>
      <c r="B10" s="15" t="s">
        <v>5</v>
      </c>
      <c r="C10" s="118">
        <v>335</v>
      </c>
      <c r="D10" s="472">
        <v>23.3</v>
      </c>
      <c r="E10" s="299">
        <v>20</v>
      </c>
      <c r="F10" s="431">
        <v>0</v>
      </c>
      <c r="G10" s="243">
        <v>0.24299999999999999</v>
      </c>
      <c r="H10" s="14">
        <v>0.70589999999999997</v>
      </c>
      <c r="I10" s="283">
        <v>4</v>
      </c>
      <c r="J10" s="244">
        <v>0.45454545454545453</v>
      </c>
      <c r="K10" s="244">
        <v>0.45454545454545453</v>
      </c>
      <c r="L10" s="246">
        <v>3</v>
      </c>
      <c r="M10" s="252">
        <v>0.17167381974248927</v>
      </c>
      <c r="N10" s="440">
        <v>1</v>
      </c>
      <c r="O10" s="440">
        <v>6</v>
      </c>
      <c r="P10" s="440">
        <v>-5</v>
      </c>
      <c r="Q10" s="39"/>
      <c r="R10" s="140" t="s">
        <v>4</v>
      </c>
    </row>
    <row r="11" spans="1:18" s="17" customFormat="1" x14ac:dyDescent="0.25">
      <c r="A11" s="140" t="s">
        <v>16</v>
      </c>
      <c r="B11" s="15" t="s">
        <v>5</v>
      </c>
      <c r="C11" s="118">
        <v>62</v>
      </c>
      <c r="D11" s="472">
        <v>31</v>
      </c>
      <c r="E11" s="300">
        <v>73</v>
      </c>
      <c r="F11" s="431">
        <v>6.8493150684931503E-2</v>
      </c>
      <c r="G11" s="486">
        <v>0.51300000000000001</v>
      </c>
      <c r="H11" s="487">
        <v>0.87929999999999997</v>
      </c>
      <c r="I11" s="283">
        <v>4</v>
      </c>
      <c r="J11" s="244">
        <v>0.20408163265306123</v>
      </c>
      <c r="K11" s="244">
        <v>0.77551020408163263</v>
      </c>
      <c r="L11" s="246">
        <v>11</v>
      </c>
      <c r="M11" s="252">
        <v>0.25806451612903225</v>
      </c>
      <c r="N11" s="440">
        <v>4</v>
      </c>
      <c r="O11" s="440">
        <v>1</v>
      </c>
      <c r="P11" s="440">
        <v>3</v>
      </c>
      <c r="Q11" s="39"/>
      <c r="R11" s="140" t="s">
        <v>16</v>
      </c>
    </row>
    <row r="12" spans="1:18" s="125" customFormat="1" ht="28.5" customHeight="1" x14ac:dyDescent="0.25">
      <c r="A12" s="143" t="s">
        <v>319</v>
      </c>
      <c r="B12" s="71" t="s">
        <v>5</v>
      </c>
      <c r="C12" s="119" t="s">
        <v>103</v>
      </c>
      <c r="D12" s="472">
        <v>41</v>
      </c>
      <c r="E12" s="301">
        <v>61</v>
      </c>
      <c r="F12" s="432">
        <v>4.9180327868852458E-2</v>
      </c>
      <c r="G12" s="286">
        <v>0.314</v>
      </c>
      <c r="H12" s="282">
        <v>0.90700000000000003</v>
      </c>
      <c r="I12" s="379">
        <v>4.5999999999999996</v>
      </c>
      <c r="J12" s="427">
        <v>0.23809523809523808</v>
      </c>
      <c r="K12" s="427">
        <v>0.76190476190476186</v>
      </c>
      <c r="L12" s="381">
        <v>10</v>
      </c>
      <c r="M12" s="382">
        <v>0.34146341463414637</v>
      </c>
      <c r="N12" s="452">
        <v>3</v>
      </c>
      <c r="O12" s="452">
        <v>0</v>
      </c>
      <c r="P12" s="452">
        <v>3</v>
      </c>
      <c r="Q12" s="124"/>
      <c r="R12" s="143" t="s">
        <v>319</v>
      </c>
    </row>
    <row r="13" spans="1:18" s="17" customFormat="1" x14ac:dyDescent="0.25">
      <c r="A13" s="140" t="s">
        <v>12</v>
      </c>
      <c r="B13" s="15" t="s">
        <v>5</v>
      </c>
      <c r="C13" s="118">
        <v>67</v>
      </c>
      <c r="D13" s="472">
        <v>20.5</v>
      </c>
      <c r="E13" s="300">
        <v>31</v>
      </c>
      <c r="F13" s="431">
        <v>0.12903225806451613</v>
      </c>
      <c r="G13" s="243">
        <v>0.51400000000000001</v>
      </c>
      <c r="H13" s="23">
        <v>0.3947</v>
      </c>
      <c r="I13" s="283">
        <v>4.3</v>
      </c>
      <c r="J13" s="244">
        <v>0.42307692307692307</v>
      </c>
      <c r="K13" s="244">
        <v>0.53846153846153844</v>
      </c>
      <c r="L13" s="245">
        <v>10</v>
      </c>
      <c r="M13" s="251">
        <v>0.14634146341463414</v>
      </c>
      <c r="N13" s="440">
        <v>1</v>
      </c>
      <c r="O13" s="440">
        <v>6</v>
      </c>
      <c r="P13" s="440">
        <v>-5</v>
      </c>
      <c r="Q13" s="39"/>
      <c r="R13" s="140" t="s">
        <v>12</v>
      </c>
    </row>
    <row r="14" spans="1:18" s="17" customFormat="1" x14ac:dyDescent="0.25">
      <c r="A14" s="140" t="s">
        <v>14</v>
      </c>
      <c r="B14" s="15" t="s">
        <v>5</v>
      </c>
      <c r="C14" s="118" t="s">
        <v>314</v>
      </c>
      <c r="D14" s="472">
        <v>21.5</v>
      </c>
      <c r="E14" s="300">
        <v>20</v>
      </c>
      <c r="F14" s="431">
        <v>0.1</v>
      </c>
      <c r="G14" s="243">
        <v>0.14799999999999999</v>
      </c>
      <c r="H14" s="14">
        <v>0.75409999999999999</v>
      </c>
      <c r="I14" s="283">
        <v>4.3</v>
      </c>
      <c r="J14" s="244">
        <v>0.41666666666666669</v>
      </c>
      <c r="K14" s="244">
        <v>0.58333333333333337</v>
      </c>
      <c r="L14" s="246">
        <v>6</v>
      </c>
      <c r="M14" s="251">
        <v>0.55813953488372092</v>
      </c>
      <c r="N14" s="440">
        <v>4</v>
      </c>
      <c r="O14" s="440">
        <v>2</v>
      </c>
      <c r="P14" s="440">
        <v>2</v>
      </c>
      <c r="Q14" s="39"/>
      <c r="R14" s="140" t="s">
        <v>14</v>
      </c>
    </row>
    <row r="15" spans="1:18" s="17" customFormat="1" x14ac:dyDescent="0.25">
      <c r="A15" s="140" t="s">
        <v>10</v>
      </c>
      <c r="B15" s="15" t="s">
        <v>5</v>
      </c>
      <c r="C15" s="118" t="s">
        <v>162</v>
      </c>
      <c r="D15" s="472">
        <v>43.7</v>
      </c>
      <c r="E15" s="300">
        <v>61</v>
      </c>
      <c r="F15" s="431">
        <v>6.5573770491803282E-2</v>
      </c>
      <c r="G15" s="243">
        <v>0.36399999999999999</v>
      </c>
      <c r="H15" s="23">
        <v>0.81669999999999998</v>
      </c>
      <c r="I15" s="283">
        <v>4.3</v>
      </c>
      <c r="J15" s="244">
        <v>0.27500000000000002</v>
      </c>
      <c r="K15" s="244">
        <v>0.67500000000000004</v>
      </c>
      <c r="L15" s="245">
        <v>5</v>
      </c>
      <c r="M15" s="251">
        <v>0.11441647597254004</v>
      </c>
      <c r="N15" s="440">
        <v>2</v>
      </c>
      <c r="O15" s="440">
        <v>2</v>
      </c>
      <c r="P15" s="440">
        <v>0</v>
      </c>
      <c r="Q15" s="15"/>
      <c r="R15" s="140" t="s">
        <v>10</v>
      </c>
    </row>
    <row r="16" spans="1:18" s="17" customFormat="1" x14ac:dyDescent="0.25">
      <c r="A16" s="140" t="s">
        <v>9</v>
      </c>
      <c r="B16" s="15" t="s">
        <v>5</v>
      </c>
      <c r="C16" s="118">
        <v>99</v>
      </c>
      <c r="D16" s="474">
        <v>21.45</v>
      </c>
      <c r="E16" s="300">
        <v>44</v>
      </c>
      <c r="F16" s="431">
        <v>0.13636363636363635</v>
      </c>
      <c r="G16" s="243">
        <v>0.22900000000000001</v>
      </c>
      <c r="H16" s="14">
        <v>0.71430000000000005</v>
      </c>
      <c r="I16" s="283">
        <v>4.4000000000000004</v>
      </c>
      <c r="J16" s="244">
        <v>0.31818181818181818</v>
      </c>
      <c r="K16" s="244">
        <v>0.68181818181818177</v>
      </c>
      <c r="L16" s="246">
        <v>4</v>
      </c>
      <c r="M16" s="252">
        <v>4.6620046620046623E-2</v>
      </c>
      <c r="N16" s="440">
        <v>1</v>
      </c>
      <c r="O16" s="440">
        <v>2</v>
      </c>
      <c r="P16" s="440">
        <v>-1</v>
      </c>
      <c r="Q16" s="39"/>
      <c r="R16" s="140" t="s">
        <v>9</v>
      </c>
    </row>
    <row r="17" spans="1:1738" s="17" customFormat="1" x14ac:dyDescent="0.25">
      <c r="A17" s="140" t="s">
        <v>11</v>
      </c>
      <c r="B17" s="15" t="s">
        <v>5</v>
      </c>
      <c r="C17" s="118">
        <v>113</v>
      </c>
      <c r="D17" s="472">
        <v>16</v>
      </c>
      <c r="E17" s="299">
        <v>29</v>
      </c>
      <c r="F17" s="431">
        <v>0.10344827586206896</v>
      </c>
      <c r="G17" s="243">
        <v>0.20899999999999999</v>
      </c>
      <c r="H17" s="23">
        <v>0.92859999999999998</v>
      </c>
      <c r="I17" s="283">
        <v>4</v>
      </c>
      <c r="J17" s="244">
        <v>7.1428571428571425E-2</v>
      </c>
      <c r="K17" s="244">
        <v>0.8571428571428571</v>
      </c>
      <c r="L17" s="246">
        <v>3</v>
      </c>
      <c r="M17" s="251">
        <v>0.125</v>
      </c>
      <c r="N17" s="440">
        <v>4</v>
      </c>
      <c r="O17" s="440">
        <v>3</v>
      </c>
      <c r="P17" s="440">
        <v>1</v>
      </c>
      <c r="Q17" s="39"/>
      <c r="R17" s="140" t="s">
        <v>11</v>
      </c>
    </row>
    <row r="18" spans="1:1738" s="17" customFormat="1" x14ac:dyDescent="0.25">
      <c r="A18" s="140" t="s">
        <v>8</v>
      </c>
      <c r="B18" s="15" t="s">
        <v>5</v>
      </c>
      <c r="C18" s="118">
        <v>129</v>
      </c>
      <c r="D18" s="472">
        <v>18.5</v>
      </c>
      <c r="E18" s="300">
        <v>52</v>
      </c>
      <c r="F18" s="431">
        <v>5.7692307692307696E-2</v>
      </c>
      <c r="G18" s="243">
        <v>0.377</v>
      </c>
      <c r="H18" s="14">
        <v>0.81820000000000004</v>
      </c>
      <c r="I18" s="283">
        <v>4.3</v>
      </c>
      <c r="J18" s="244">
        <v>0.3611111111111111</v>
      </c>
      <c r="K18" s="244">
        <v>0.61111111111111116</v>
      </c>
      <c r="L18" s="246">
        <v>15</v>
      </c>
      <c r="M18" s="252">
        <v>0.70270270270270274</v>
      </c>
      <c r="N18" s="440">
        <v>4</v>
      </c>
      <c r="O18" s="440">
        <v>0</v>
      </c>
      <c r="P18" s="440">
        <v>4</v>
      </c>
      <c r="Q18" s="39"/>
      <c r="R18" s="140" t="s">
        <v>8</v>
      </c>
    </row>
    <row r="19" spans="1:1738" s="17" customFormat="1" x14ac:dyDescent="0.25">
      <c r="A19" s="140" t="s">
        <v>13</v>
      </c>
      <c r="B19" s="15" t="s">
        <v>5</v>
      </c>
      <c r="C19" s="118">
        <v>138</v>
      </c>
      <c r="D19" s="472">
        <v>19.5</v>
      </c>
      <c r="E19" s="299">
        <v>31</v>
      </c>
      <c r="F19" s="431">
        <v>0.16129032258064516</v>
      </c>
      <c r="G19" s="243">
        <v>0.24299999999999999</v>
      </c>
      <c r="H19" s="23">
        <v>0.88</v>
      </c>
      <c r="I19" s="283">
        <v>6</v>
      </c>
      <c r="J19" s="244">
        <v>0.1875</v>
      </c>
      <c r="K19" s="244">
        <v>0.625</v>
      </c>
      <c r="L19" s="246">
        <v>6</v>
      </c>
      <c r="M19" s="251">
        <v>0.46153846153846156</v>
      </c>
      <c r="N19" s="440">
        <v>3</v>
      </c>
      <c r="O19" s="440">
        <v>2</v>
      </c>
      <c r="P19" s="440">
        <v>1</v>
      </c>
      <c r="Q19" s="39"/>
      <c r="R19" s="140" t="s">
        <v>13</v>
      </c>
    </row>
    <row r="20" spans="1:1738" s="17" customFormat="1" x14ac:dyDescent="0.25">
      <c r="A20" s="140" t="s">
        <v>17</v>
      </c>
      <c r="B20" s="15" t="s">
        <v>18</v>
      </c>
      <c r="C20" s="118">
        <v>348</v>
      </c>
      <c r="D20" s="472">
        <v>62</v>
      </c>
      <c r="E20" s="300">
        <v>59</v>
      </c>
      <c r="F20" s="431">
        <v>5.0847457627118647E-2</v>
      </c>
      <c r="G20" s="243">
        <v>3.5000000000000003E-2</v>
      </c>
      <c r="H20" s="14">
        <v>0.46089999999999998</v>
      </c>
      <c r="I20" s="283">
        <v>5</v>
      </c>
      <c r="J20" s="244">
        <v>0.375</v>
      </c>
      <c r="K20" s="244">
        <v>0.6</v>
      </c>
      <c r="L20" s="246">
        <v>13</v>
      </c>
      <c r="M20" s="251">
        <v>0.16129032258064516</v>
      </c>
      <c r="N20" s="440">
        <v>1</v>
      </c>
      <c r="O20" s="440">
        <v>2</v>
      </c>
      <c r="P20" s="440">
        <v>-1</v>
      </c>
      <c r="Q20" s="39"/>
      <c r="R20" s="140" t="s">
        <v>17</v>
      </c>
    </row>
    <row r="21" spans="1:1738" x14ac:dyDescent="0.25">
      <c r="A21" s="140" t="s">
        <v>29</v>
      </c>
      <c r="B21" s="15" t="s">
        <v>21</v>
      </c>
      <c r="C21" s="118">
        <v>336</v>
      </c>
      <c r="D21" s="472">
        <v>22.75</v>
      </c>
      <c r="E21" s="299">
        <v>141</v>
      </c>
      <c r="F21" s="431">
        <v>0.1773049645390071</v>
      </c>
      <c r="G21" s="243">
        <v>0.26600000000000001</v>
      </c>
      <c r="H21" s="14">
        <v>0.54549999999999998</v>
      </c>
      <c r="I21" s="283">
        <v>7</v>
      </c>
      <c r="J21" s="244">
        <v>0.36065573770491804</v>
      </c>
      <c r="K21" s="244">
        <v>0.44262295081967212</v>
      </c>
      <c r="L21" s="246">
        <v>10</v>
      </c>
      <c r="M21" s="251">
        <v>0.26373626373626374</v>
      </c>
      <c r="N21" s="440">
        <v>2</v>
      </c>
      <c r="O21" s="440">
        <v>2</v>
      </c>
      <c r="P21" s="440">
        <v>0</v>
      </c>
      <c r="Q21" s="39"/>
      <c r="R21" s="140" t="s">
        <v>29</v>
      </c>
    </row>
    <row r="22" spans="1:1738" x14ac:dyDescent="0.25">
      <c r="A22" s="140" t="s">
        <v>24</v>
      </c>
      <c r="B22" s="15" t="s">
        <v>21</v>
      </c>
      <c r="C22" s="118">
        <v>342</v>
      </c>
      <c r="D22" s="472">
        <v>12.88</v>
      </c>
      <c r="E22" s="299">
        <v>30</v>
      </c>
      <c r="F22" s="431">
        <v>3.3333333333333333E-2</v>
      </c>
      <c r="G22" s="243">
        <v>0.22500000000000001</v>
      </c>
      <c r="H22" s="14">
        <v>0.42109999999999997</v>
      </c>
      <c r="I22" s="283">
        <v>5.8</v>
      </c>
      <c r="J22" s="244">
        <v>0.19047619047619047</v>
      </c>
      <c r="K22" s="244">
        <v>0.80952380952380953</v>
      </c>
      <c r="L22" s="246">
        <v>7</v>
      </c>
      <c r="M22" s="252">
        <v>0.3105590062111801</v>
      </c>
      <c r="N22" s="440">
        <v>2</v>
      </c>
      <c r="O22" s="440">
        <v>4</v>
      </c>
      <c r="P22" s="440">
        <v>-2</v>
      </c>
      <c r="Q22" s="39"/>
      <c r="R22" s="140" t="s">
        <v>24</v>
      </c>
    </row>
    <row r="23" spans="1:1738" x14ac:dyDescent="0.25">
      <c r="A23" s="140" t="s">
        <v>323</v>
      </c>
      <c r="B23" s="15" t="s">
        <v>21</v>
      </c>
      <c r="C23" s="118" t="s">
        <v>105</v>
      </c>
      <c r="D23" s="472">
        <v>32.04</v>
      </c>
      <c r="E23" s="299">
        <v>92</v>
      </c>
      <c r="F23" s="431">
        <v>8.6956521739130432E-2</v>
      </c>
      <c r="G23" s="243">
        <v>0.26900000000000002</v>
      </c>
      <c r="H23" s="14">
        <v>0.67589999999999995</v>
      </c>
      <c r="I23" s="283">
        <v>6</v>
      </c>
      <c r="J23" s="64">
        <v>0.15555555555555556</v>
      </c>
      <c r="K23" s="244">
        <v>0.73333333333333328</v>
      </c>
      <c r="L23" s="245">
        <v>13</v>
      </c>
      <c r="M23" s="251">
        <v>0.24968789013732834</v>
      </c>
      <c r="N23" s="440">
        <v>3</v>
      </c>
      <c r="O23" s="440">
        <v>1</v>
      </c>
      <c r="P23" s="440">
        <v>2</v>
      </c>
      <c r="Q23" s="39"/>
      <c r="R23" s="140" t="s">
        <v>323</v>
      </c>
    </row>
    <row r="24" spans="1:1738" x14ac:dyDescent="0.25">
      <c r="A24" s="140" t="s">
        <v>169</v>
      </c>
      <c r="B24" s="15" t="s">
        <v>21</v>
      </c>
      <c r="C24" s="118">
        <v>350</v>
      </c>
      <c r="D24" s="472">
        <v>38.25</v>
      </c>
      <c r="E24" s="299">
        <v>265</v>
      </c>
      <c r="F24" s="431">
        <v>6.4150943396226415E-2</v>
      </c>
      <c r="G24" s="486">
        <v>0.14299999999999999</v>
      </c>
      <c r="H24" s="487">
        <v>0.6643</v>
      </c>
      <c r="I24" s="284">
        <v>5.3</v>
      </c>
      <c r="J24" s="244">
        <v>0.24858757062146894</v>
      </c>
      <c r="K24" s="244">
        <v>0.70056497175141241</v>
      </c>
      <c r="L24" s="246">
        <v>30</v>
      </c>
      <c r="M24" s="251">
        <v>0.6797385620915033</v>
      </c>
      <c r="N24" s="440">
        <v>4</v>
      </c>
      <c r="O24" s="440">
        <v>0</v>
      </c>
      <c r="P24" s="440">
        <v>4</v>
      </c>
      <c r="Q24" s="39"/>
      <c r="R24" s="140" t="s">
        <v>169</v>
      </c>
    </row>
    <row r="25" spans="1:1738" s="682" customFormat="1" x14ac:dyDescent="0.25">
      <c r="A25" s="9" t="s">
        <v>71</v>
      </c>
      <c r="B25" s="15" t="s">
        <v>21</v>
      </c>
      <c r="C25" s="72">
        <v>41</v>
      </c>
      <c r="D25" s="473">
        <v>7</v>
      </c>
      <c r="E25" s="300">
        <v>23</v>
      </c>
      <c r="F25" s="298">
        <v>4.3478260869565216E-2</v>
      </c>
      <c r="G25" s="287">
        <v>0.51800000000000002</v>
      </c>
      <c r="H25" s="14">
        <v>0.75860000000000005</v>
      </c>
      <c r="I25" s="285">
        <v>5.0999999999999996</v>
      </c>
      <c r="J25" s="64">
        <v>0.54545454545454541</v>
      </c>
      <c r="K25" s="64">
        <v>0.27272727272727271</v>
      </c>
      <c r="L25" s="245">
        <v>6</v>
      </c>
      <c r="M25" s="252">
        <v>0.7142857142857143</v>
      </c>
      <c r="N25" s="440">
        <v>2</v>
      </c>
      <c r="O25" s="440">
        <v>5</v>
      </c>
      <c r="P25" s="440">
        <v>-3</v>
      </c>
      <c r="Q25" s="707"/>
      <c r="R25" s="9" t="s">
        <v>71</v>
      </c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EU25" s="254"/>
      <c r="EV25" s="254"/>
      <c r="EW25" s="254"/>
      <c r="EX25" s="254"/>
      <c r="EY25" s="254"/>
      <c r="EZ25" s="254"/>
      <c r="FA25" s="254"/>
      <c r="FB25" s="254"/>
      <c r="FC25" s="254"/>
      <c r="FD25" s="254"/>
      <c r="FE25" s="254"/>
      <c r="FF25" s="254"/>
      <c r="FG25" s="254"/>
      <c r="FH25" s="254"/>
      <c r="FI25" s="254"/>
      <c r="FJ25" s="254"/>
      <c r="FK25" s="254"/>
      <c r="FL25" s="254"/>
      <c r="FM25" s="254"/>
      <c r="FN25" s="254"/>
      <c r="FO25" s="254"/>
      <c r="FP25" s="254"/>
      <c r="FQ25" s="254"/>
      <c r="FR25" s="254"/>
      <c r="FS25" s="254"/>
      <c r="FT25" s="254"/>
      <c r="FU25" s="254"/>
      <c r="FV25" s="254"/>
      <c r="FW25" s="254"/>
      <c r="FX25" s="254"/>
      <c r="FY25" s="254"/>
      <c r="FZ25" s="254"/>
      <c r="GA25" s="254"/>
      <c r="GB25" s="254"/>
      <c r="GC25" s="254"/>
      <c r="GD25" s="254"/>
      <c r="GE25" s="254"/>
      <c r="GF25" s="254"/>
      <c r="GG25" s="254"/>
      <c r="GH25" s="254"/>
      <c r="GI25" s="254"/>
      <c r="GJ25" s="254"/>
      <c r="GK25" s="254"/>
      <c r="GL25" s="254"/>
      <c r="GM25" s="254"/>
      <c r="GN25" s="254"/>
      <c r="GO25" s="254"/>
      <c r="GP25" s="254"/>
      <c r="GQ25" s="254"/>
      <c r="GR25" s="254"/>
      <c r="GS25" s="254"/>
      <c r="GT25" s="254"/>
      <c r="GU25" s="254"/>
      <c r="GV25" s="254"/>
      <c r="GW25" s="254"/>
      <c r="GX25" s="254"/>
      <c r="GY25" s="254"/>
      <c r="GZ25" s="254"/>
      <c r="HA25" s="254"/>
      <c r="HB25" s="254"/>
      <c r="HC25" s="254"/>
      <c r="HD25" s="254"/>
      <c r="HE25" s="254"/>
      <c r="HF25" s="254"/>
      <c r="HG25" s="254"/>
      <c r="HH25" s="254"/>
      <c r="HI25" s="254"/>
      <c r="HJ25" s="254"/>
      <c r="HK25" s="254"/>
      <c r="HL25" s="254"/>
      <c r="HM25" s="254"/>
      <c r="HN25" s="254"/>
      <c r="HO25" s="254"/>
      <c r="HP25" s="254"/>
      <c r="HQ25" s="254"/>
      <c r="HR25" s="254"/>
      <c r="HS25" s="254"/>
      <c r="HT25" s="254"/>
      <c r="HU25" s="254"/>
      <c r="HV25" s="254"/>
      <c r="HW25" s="254"/>
      <c r="HX25" s="254"/>
      <c r="HY25" s="254"/>
      <c r="HZ25" s="254"/>
      <c r="IA25" s="254"/>
      <c r="IB25" s="254"/>
      <c r="IC25" s="254"/>
      <c r="ID25" s="254"/>
      <c r="IE25" s="254"/>
      <c r="IF25" s="254"/>
      <c r="IG25" s="254"/>
      <c r="IH25" s="254"/>
      <c r="II25" s="254"/>
      <c r="IJ25" s="254"/>
      <c r="IK25" s="254"/>
      <c r="IL25" s="254"/>
      <c r="IM25" s="254"/>
      <c r="IN25" s="254"/>
      <c r="IO25" s="254"/>
      <c r="IP25" s="254"/>
      <c r="IQ25" s="254"/>
      <c r="IR25" s="254"/>
      <c r="IS25" s="254"/>
      <c r="IT25" s="254"/>
      <c r="IU25" s="254"/>
      <c r="IV25" s="254"/>
      <c r="IW25" s="254"/>
      <c r="IX25" s="254"/>
      <c r="IY25" s="254"/>
      <c r="IZ25" s="254"/>
      <c r="JA25" s="254"/>
      <c r="JB25" s="254"/>
      <c r="JC25" s="254"/>
      <c r="JD25" s="254"/>
      <c r="JE25" s="254"/>
      <c r="JF25" s="254"/>
      <c r="JG25" s="254"/>
      <c r="JH25" s="254"/>
      <c r="JI25" s="254"/>
      <c r="JJ25" s="254"/>
      <c r="JK25" s="254"/>
      <c r="JL25" s="254"/>
      <c r="JM25" s="254"/>
      <c r="JN25" s="254"/>
      <c r="JO25" s="254"/>
      <c r="JP25" s="254"/>
      <c r="JQ25" s="254"/>
      <c r="JR25" s="254"/>
      <c r="JS25" s="254"/>
      <c r="JT25" s="254"/>
      <c r="JU25" s="254"/>
      <c r="JV25" s="254"/>
      <c r="JW25" s="254"/>
      <c r="JX25" s="254"/>
      <c r="JY25" s="254"/>
      <c r="JZ25" s="254"/>
      <c r="KA25" s="254"/>
      <c r="KB25" s="254"/>
      <c r="KC25" s="254"/>
      <c r="KD25" s="254"/>
      <c r="KE25" s="254"/>
      <c r="KF25" s="254"/>
      <c r="KG25" s="254"/>
      <c r="KH25" s="254"/>
      <c r="KI25" s="254"/>
      <c r="KJ25" s="254"/>
      <c r="KK25" s="254"/>
      <c r="KL25" s="254"/>
      <c r="KM25" s="254"/>
      <c r="KN25" s="254"/>
      <c r="KO25" s="254"/>
      <c r="KP25" s="254"/>
      <c r="KQ25" s="254"/>
      <c r="KR25" s="254"/>
      <c r="KS25" s="254"/>
      <c r="KT25" s="254"/>
      <c r="KU25" s="254"/>
      <c r="KV25" s="254"/>
      <c r="KW25" s="254"/>
      <c r="KX25" s="254"/>
      <c r="KY25" s="254"/>
      <c r="KZ25" s="254"/>
      <c r="LA25" s="254"/>
      <c r="LB25" s="254"/>
      <c r="LC25" s="254"/>
      <c r="LD25" s="254"/>
      <c r="LE25" s="254"/>
      <c r="LF25" s="254"/>
      <c r="LG25" s="254"/>
      <c r="LH25" s="254"/>
      <c r="LI25" s="254"/>
      <c r="LJ25" s="254"/>
      <c r="LK25" s="254"/>
      <c r="LL25" s="254"/>
      <c r="LM25" s="254"/>
      <c r="LN25" s="254"/>
      <c r="LO25" s="254"/>
      <c r="LP25" s="254"/>
      <c r="LQ25" s="254"/>
      <c r="LR25" s="254"/>
      <c r="LS25" s="254"/>
      <c r="LT25" s="254"/>
      <c r="LU25" s="254"/>
      <c r="LV25" s="254"/>
      <c r="LW25" s="254"/>
      <c r="LX25" s="254"/>
      <c r="LY25" s="254"/>
      <c r="LZ25" s="254"/>
      <c r="MA25" s="254"/>
      <c r="MB25" s="254"/>
      <c r="MC25" s="254"/>
      <c r="MD25" s="254"/>
      <c r="ME25" s="254"/>
      <c r="MF25" s="254"/>
      <c r="MG25" s="254"/>
      <c r="MH25" s="254"/>
      <c r="MI25" s="254"/>
      <c r="MJ25" s="254"/>
      <c r="MK25" s="254"/>
      <c r="ML25" s="254"/>
      <c r="MM25" s="254"/>
      <c r="MN25" s="254"/>
      <c r="MO25" s="254"/>
      <c r="MP25" s="254"/>
      <c r="MQ25" s="254"/>
      <c r="MR25" s="254"/>
      <c r="MS25" s="254"/>
      <c r="MT25" s="254"/>
      <c r="MU25" s="254"/>
      <c r="MV25" s="254"/>
      <c r="MW25" s="254"/>
      <c r="MX25" s="254"/>
      <c r="MY25" s="254"/>
      <c r="MZ25" s="254"/>
      <c r="NA25" s="254"/>
      <c r="NB25" s="254"/>
      <c r="NC25" s="254"/>
      <c r="ND25" s="254"/>
      <c r="NE25" s="254"/>
      <c r="NF25" s="254"/>
      <c r="NG25" s="254"/>
      <c r="NH25" s="254"/>
      <c r="NI25" s="254"/>
      <c r="NJ25" s="254"/>
      <c r="NK25" s="254"/>
      <c r="NL25" s="254"/>
      <c r="NM25" s="254"/>
      <c r="NN25" s="254"/>
      <c r="NO25" s="254"/>
      <c r="NP25" s="254"/>
      <c r="NQ25" s="254"/>
      <c r="NR25" s="254"/>
      <c r="NS25" s="254"/>
      <c r="NT25" s="254"/>
      <c r="NU25" s="254"/>
      <c r="NV25" s="254"/>
      <c r="NW25" s="254"/>
      <c r="NX25" s="254"/>
      <c r="NY25" s="254"/>
      <c r="NZ25" s="254"/>
      <c r="OA25" s="254"/>
      <c r="OB25" s="254"/>
      <c r="OC25" s="254"/>
      <c r="OD25" s="254"/>
      <c r="OE25" s="254"/>
      <c r="OF25" s="254"/>
      <c r="OG25" s="254"/>
      <c r="OH25" s="254"/>
      <c r="OI25" s="254"/>
      <c r="OJ25" s="254"/>
      <c r="OK25" s="254"/>
      <c r="OL25" s="254"/>
      <c r="OM25" s="254"/>
      <c r="ON25" s="254"/>
      <c r="OO25" s="254"/>
      <c r="OP25" s="254"/>
      <c r="OQ25" s="254"/>
      <c r="OR25" s="254"/>
      <c r="OS25" s="254"/>
      <c r="OT25" s="254"/>
      <c r="OU25" s="254"/>
      <c r="OV25" s="254"/>
      <c r="OW25" s="254"/>
      <c r="OX25" s="254"/>
      <c r="OY25" s="254"/>
      <c r="OZ25" s="254"/>
      <c r="PA25" s="254"/>
      <c r="PB25" s="254"/>
      <c r="PC25" s="254"/>
      <c r="PD25" s="254"/>
      <c r="PE25" s="254"/>
      <c r="PF25" s="254"/>
      <c r="PG25" s="254"/>
      <c r="PH25" s="254"/>
      <c r="PI25" s="254"/>
      <c r="PJ25" s="254"/>
      <c r="PK25" s="254"/>
      <c r="PL25" s="254"/>
      <c r="PM25" s="254"/>
      <c r="PN25" s="254"/>
      <c r="PO25" s="254"/>
      <c r="PP25" s="254"/>
      <c r="PQ25" s="254"/>
      <c r="PR25" s="254"/>
      <c r="PS25" s="254"/>
      <c r="PT25" s="254"/>
      <c r="PU25" s="254"/>
      <c r="PV25" s="254"/>
      <c r="PW25" s="254"/>
      <c r="PX25" s="254"/>
      <c r="PY25" s="254"/>
      <c r="PZ25" s="254"/>
      <c r="QA25" s="254"/>
      <c r="QB25" s="254"/>
      <c r="QC25" s="254"/>
      <c r="QD25" s="254"/>
      <c r="QE25" s="254"/>
      <c r="QF25" s="254"/>
      <c r="QG25" s="254"/>
      <c r="QH25" s="254"/>
      <c r="QI25" s="254"/>
      <c r="QJ25" s="254"/>
      <c r="QK25" s="254"/>
      <c r="QL25" s="254"/>
      <c r="QM25" s="254"/>
      <c r="QN25" s="254"/>
      <c r="QO25" s="254"/>
      <c r="QP25" s="254"/>
      <c r="QQ25" s="254"/>
      <c r="QR25" s="254"/>
      <c r="QS25" s="254"/>
      <c r="QT25" s="254"/>
      <c r="QU25" s="254"/>
      <c r="QV25" s="254"/>
      <c r="QW25" s="254"/>
      <c r="QX25" s="254"/>
      <c r="QY25" s="254"/>
      <c r="QZ25" s="254"/>
      <c r="RA25" s="254"/>
      <c r="RB25" s="254"/>
      <c r="RC25" s="254"/>
      <c r="RD25" s="254"/>
      <c r="RE25" s="254"/>
      <c r="RF25" s="254"/>
      <c r="RG25" s="254"/>
      <c r="RH25" s="254"/>
      <c r="RI25" s="254"/>
      <c r="RJ25" s="254"/>
      <c r="RK25" s="254"/>
      <c r="RL25" s="254"/>
      <c r="RM25" s="254"/>
      <c r="RN25" s="254"/>
      <c r="RO25" s="254"/>
      <c r="RP25" s="254"/>
      <c r="RQ25" s="254"/>
      <c r="RR25" s="254"/>
      <c r="RS25" s="254"/>
      <c r="RT25" s="254"/>
      <c r="RU25" s="254"/>
      <c r="RV25" s="254"/>
      <c r="RW25" s="254"/>
      <c r="RX25" s="254"/>
      <c r="RY25" s="254"/>
      <c r="RZ25" s="254"/>
      <c r="SA25" s="254"/>
      <c r="SB25" s="254"/>
      <c r="SC25" s="254"/>
      <c r="SD25" s="254"/>
      <c r="SE25" s="254"/>
      <c r="SF25" s="254"/>
      <c r="SG25" s="254"/>
      <c r="SH25" s="254"/>
      <c r="SI25" s="254"/>
      <c r="SJ25" s="254"/>
      <c r="SK25" s="254"/>
      <c r="SL25" s="254"/>
      <c r="SM25" s="254"/>
      <c r="SN25" s="254"/>
      <c r="SO25" s="254"/>
      <c r="SP25" s="254"/>
      <c r="SQ25" s="254"/>
      <c r="SR25" s="254"/>
      <c r="SS25" s="254"/>
      <c r="ST25" s="254"/>
      <c r="SU25" s="254"/>
      <c r="SV25" s="254"/>
      <c r="SW25" s="254"/>
      <c r="SX25" s="254"/>
      <c r="SY25" s="254"/>
      <c r="SZ25" s="254"/>
      <c r="TA25" s="254"/>
      <c r="TB25" s="254"/>
      <c r="TC25" s="254"/>
      <c r="TD25" s="254"/>
      <c r="TE25" s="254"/>
      <c r="TF25" s="254"/>
      <c r="TG25" s="254"/>
      <c r="TH25" s="254"/>
      <c r="TI25" s="254"/>
      <c r="TJ25" s="254"/>
      <c r="TK25" s="254"/>
      <c r="TL25" s="254"/>
      <c r="TM25" s="254"/>
      <c r="TN25" s="254"/>
      <c r="TO25" s="254"/>
      <c r="TP25" s="254"/>
      <c r="TQ25" s="254"/>
      <c r="TR25" s="254"/>
      <c r="TS25" s="254"/>
      <c r="TT25" s="254"/>
      <c r="TU25" s="254"/>
      <c r="TV25" s="254"/>
      <c r="TW25" s="254"/>
      <c r="TX25" s="254"/>
      <c r="TY25" s="254"/>
      <c r="TZ25" s="254"/>
      <c r="UA25" s="254"/>
      <c r="UB25" s="254"/>
      <c r="UC25" s="254"/>
      <c r="UD25" s="254"/>
      <c r="UE25" s="254"/>
      <c r="UF25" s="254"/>
      <c r="UG25" s="254"/>
      <c r="UH25" s="254"/>
      <c r="UI25" s="254"/>
      <c r="UJ25" s="254"/>
      <c r="UK25" s="254"/>
      <c r="UL25" s="254"/>
      <c r="UM25" s="254"/>
      <c r="UN25" s="254"/>
      <c r="UO25" s="254"/>
      <c r="UP25" s="254"/>
      <c r="UQ25" s="254"/>
      <c r="UR25" s="254"/>
      <c r="US25" s="254"/>
      <c r="UT25" s="254"/>
      <c r="UU25" s="254"/>
      <c r="UV25" s="254"/>
      <c r="UW25" s="254"/>
      <c r="UX25" s="254"/>
      <c r="UY25" s="254"/>
      <c r="UZ25" s="254"/>
      <c r="VA25" s="254"/>
      <c r="VB25" s="254"/>
      <c r="VC25" s="254"/>
      <c r="VD25" s="254"/>
      <c r="VE25" s="254"/>
      <c r="VF25" s="254"/>
      <c r="VG25" s="254"/>
      <c r="VH25" s="254"/>
      <c r="VI25" s="254"/>
      <c r="VJ25" s="254"/>
      <c r="VK25" s="254"/>
      <c r="VL25" s="254"/>
      <c r="VM25" s="254"/>
      <c r="VN25" s="254"/>
      <c r="VO25" s="254"/>
      <c r="VP25" s="254"/>
      <c r="VQ25" s="254"/>
      <c r="VR25" s="254"/>
      <c r="VS25" s="254"/>
      <c r="VT25" s="254"/>
      <c r="VU25" s="254"/>
      <c r="VV25" s="254"/>
      <c r="VW25" s="254"/>
      <c r="VX25" s="254"/>
      <c r="VY25" s="254"/>
      <c r="VZ25" s="254"/>
      <c r="WA25" s="254"/>
      <c r="WB25" s="254"/>
      <c r="WC25" s="254"/>
      <c r="WD25" s="254"/>
      <c r="WE25" s="254"/>
      <c r="WF25" s="254"/>
      <c r="WG25" s="254"/>
      <c r="WH25" s="254"/>
      <c r="WI25" s="254"/>
      <c r="WJ25" s="254"/>
      <c r="WK25" s="254"/>
      <c r="WL25" s="254"/>
      <c r="WM25" s="254"/>
      <c r="WN25" s="254"/>
      <c r="WO25" s="254"/>
      <c r="WP25" s="254"/>
      <c r="WQ25" s="254"/>
      <c r="WR25" s="254"/>
      <c r="WS25" s="254"/>
      <c r="WT25" s="254"/>
      <c r="WU25" s="254"/>
      <c r="WV25" s="254"/>
      <c r="WW25" s="254"/>
      <c r="WX25" s="254"/>
      <c r="WY25" s="254"/>
      <c r="WZ25" s="254"/>
      <c r="XA25" s="254"/>
      <c r="XB25" s="254"/>
      <c r="XC25" s="254"/>
      <c r="XD25" s="254"/>
      <c r="XE25" s="254"/>
      <c r="XF25" s="254"/>
      <c r="XG25" s="254"/>
      <c r="XH25" s="254"/>
      <c r="XI25" s="254"/>
      <c r="XJ25" s="254"/>
      <c r="XK25" s="254"/>
      <c r="XL25" s="254"/>
      <c r="XM25" s="254"/>
      <c r="XN25" s="254"/>
      <c r="XO25" s="254"/>
      <c r="XP25" s="254"/>
      <c r="XQ25" s="254"/>
      <c r="XR25" s="254"/>
      <c r="XS25" s="254"/>
      <c r="XT25" s="254"/>
      <c r="XU25" s="254"/>
      <c r="XV25" s="254"/>
      <c r="XW25" s="254"/>
      <c r="XX25" s="254"/>
      <c r="XY25" s="254"/>
      <c r="XZ25" s="254"/>
      <c r="YA25" s="254"/>
      <c r="YB25" s="254"/>
      <c r="YC25" s="254"/>
      <c r="YD25" s="254"/>
      <c r="YE25" s="254"/>
      <c r="YF25" s="254"/>
      <c r="YG25" s="254"/>
      <c r="YH25" s="254"/>
      <c r="YI25" s="254"/>
      <c r="YJ25" s="254"/>
      <c r="YK25" s="254"/>
      <c r="YL25" s="254"/>
      <c r="YM25" s="254"/>
      <c r="YN25" s="254"/>
      <c r="YO25" s="254"/>
      <c r="YP25" s="254"/>
      <c r="YQ25" s="254"/>
      <c r="YR25" s="254"/>
      <c r="YS25" s="254"/>
      <c r="YT25" s="254"/>
      <c r="YU25" s="254"/>
      <c r="YV25" s="254"/>
      <c r="YW25" s="254"/>
      <c r="YX25" s="254"/>
      <c r="YY25" s="254"/>
      <c r="YZ25" s="254"/>
      <c r="ZA25" s="254"/>
      <c r="ZB25" s="254"/>
      <c r="ZC25" s="254"/>
      <c r="ZD25" s="254"/>
      <c r="ZE25" s="254"/>
      <c r="ZF25" s="254"/>
      <c r="ZG25" s="254"/>
      <c r="ZH25" s="254"/>
      <c r="ZI25" s="254"/>
      <c r="ZJ25" s="254"/>
      <c r="ZK25" s="254"/>
      <c r="ZL25" s="254"/>
      <c r="ZM25" s="254"/>
      <c r="ZN25" s="254"/>
      <c r="ZO25" s="254"/>
      <c r="ZP25" s="254"/>
      <c r="ZQ25" s="254"/>
      <c r="ZR25" s="254"/>
      <c r="ZS25" s="254"/>
      <c r="ZT25" s="254"/>
      <c r="ZU25" s="254"/>
      <c r="ZV25" s="254"/>
      <c r="ZW25" s="254"/>
      <c r="ZX25" s="254"/>
      <c r="ZY25" s="254"/>
      <c r="ZZ25" s="254"/>
      <c r="AAA25" s="254"/>
      <c r="AAB25" s="254"/>
      <c r="AAC25" s="254"/>
      <c r="AAD25" s="254"/>
      <c r="AAE25" s="254"/>
      <c r="AAF25" s="254"/>
      <c r="AAG25" s="254"/>
      <c r="AAH25" s="254"/>
      <c r="AAI25" s="254"/>
      <c r="AAJ25" s="254"/>
      <c r="AAK25" s="254"/>
      <c r="AAL25" s="254"/>
      <c r="AAM25" s="254"/>
      <c r="AAN25" s="254"/>
      <c r="AAO25" s="254"/>
      <c r="AAP25" s="254"/>
      <c r="AAQ25" s="254"/>
      <c r="AAR25" s="254"/>
      <c r="AAS25" s="254"/>
      <c r="AAT25" s="254"/>
      <c r="AAU25" s="254"/>
      <c r="AAV25" s="254"/>
      <c r="AAW25" s="254"/>
      <c r="AAX25" s="254"/>
      <c r="AAY25" s="254"/>
      <c r="AAZ25" s="254"/>
      <c r="ABA25" s="254"/>
      <c r="ABB25" s="254"/>
      <c r="ABC25" s="254"/>
      <c r="ABD25" s="254"/>
      <c r="ABE25" s="254"/>
      <c r="ABF25" s="254"/>
      <c r="ABG25" s="254"/>
      <c r="ABH25" s="254"/>
      <c r="ABI25" s="254"/>
      <c r="ABJ25" s="254"/>
      <c r="ABK25" s="254"/>
      <c r="ABL25" s="254"/>
      <c r="ABM25" s="254"/>
      <c r="ABN25" s="254"/>
      <c r="ABO25" s="254"/>
      <c r="ABP25" s="254"/>
      <c r="ABQ25" s="254"/>
      <c r="ABR25" s="254"/>
      <c r="ABS25" s="254"/>
      <c r="ABT25" s="254"/>
      <c r="ABU25" s="254"/>
      <c r="ABV25" s="254"/>
      <c r="ABW25" s="254"/>
      <c r="ABX25" s="254"/>
      <c r="ABY25" s="254"/>
      <c r="ABZ25" s="254"/>
      <c r="ACA25" s="254"/>
      <c r="ACB25" s="254"/>
      <c r="ACC25" s="254"/>
      <c r="ACD25" s="254"/>
      <c r="ACE25" s="254"/>
      <c r="ACF25" s="254"/>
      <c r="ACG25" s="254"/>
      <c r="ACH25" s="254"/>
      <c r="ACI25" s="254"/>
      <c r="ACJ25" s="254"/>
      <c r="ACK25" s="254"/>
      <c r="ACL25" s="254"/>
      <c r="ACM25" s="254"/>
      <c r="ACN25" s="254"/>
      <c r="ACO25" s="254"/>
      <c r="ACP25" s="254"/>
      <c r="ACQ25" s="254"/>
      <c r="ACR25" s="254"/>
      <c r="ACS25" s="254"/>
      <c r="ACT25" s="254"/>
      <c r="ACU25" s="254"/>
      <c r="ACV25" s="254"/>
      <c r="ACW25" s="254"/>
      <c r="ACX25" s="254"/>
      <c r="ACY25" s="254"/>
      <c r="ACZ25" s="254"/>
      <c r="ADA25" s="254"/>
      <c r="ADB25" s="254"/>
      <c r="ADC25" s="254"/>
      <c r="ADD25" s="254"/>
      <c r="ADE25" s="254"/>
      <c r="ADF25" s="254"/>
      <c r="ADG25" s="254"/>
      <c r="ADH25" s="254"/>
      <c r="ADI25" s="254"/>
      <c r="ADJ25" s="254"/>
      <c r="ADK25" s="254"/>
      <c r="ADL25" s="254"/>
      <c r="ADM25" s="254"/>
      <c r="ADN25" s="254"/>
      <c r="ADO25" s="254"/>
      <c r="ADP25" s="254"/>
      <c r="ADQ25" s="254"/>
      <c r="ADR25" s="254"/>
      <c r="ADS25" s="254"/>
      <c r="ADT25" s="254"/>
      <c r="ADU25" s="254"/>
      <c r="ADV25" s="254"/>
      <c r="ADW25" s="254"/>
      <c r="ADX25" s="254"/>
      <c r="ADY25" s="254"/>
      <c r="ADZ25" s="254"/>
      <c r="AEA25" s="254"/>
      <c r="AEB25" s="254"/>
      <c r="AEC25" s="254"/>
      <c r="AED25" s="254"/>
      <c r="AEE25" s="254"/>
      <c r="AEF25" s="254"/>
      <c r="AEG25" s="254"/>
      <c r="AEH25" s="254"/>
      <c r="AEI25" s="254"/>
      <c r="AEJ25" s="254"/>
      <c r="AEK25" s="254"/>
      <c r="AEL25" s="254"/>
      <c r="AEM25" s="254"/>
      <c r="AEN25" s="254"/>
      <c r="AEO25" s="254"/>
      <c r="AEP25" s="254"/>
      <c r="AEQ25" s="254"/>
      <c r="AER25" s="254"/>
      <c r="AES25" s="254"/>
      <c r="AET25" s="254"/>
      <c r="AEU25" s="254"/>
      <c r="AEV25" s="254"/>
      <c r="AEW25" s="254"/>
      <c r="AEX25" s="254"/>
      <c r="AEY25" s="254"/>
      <c r="AEZ25" s="254"/>
      <c r="AFA25" s="254"/>
      <c r="AFB25" s="254"/>
      <c r="AFC25" s="254"/>
      <c r="AFD25" s="254"/>
      <c r="AFE25" s="254"/>
      <c r="AFF25" s="254"/>
      <c r="AFG25" s="254"/>
      <c r="AFH25" s="254"/>
      <c r="AFI25" s="254"/>
      <c r="AFJ25" s="254"/>
      <c r="AFK25" s="254"/>
      <c r="AFL25" s="254"/>
      <c r="AFM25" s="254"/>
      <c r="AFN25" s="254"/>
      <c r="AFO25" s="254"/>
      <c r="AFP25" s="254"/>
      <c r="AFQ25" s="254"/>
      <c r="AFR25" s="254"/>
      <c r="AFS25" s="254"/>
      <c r="AFT25" s="254"/>
      <c r="AFU25" s="254"/>
      <c r="AFV25" s="254"/>
      <c r="AFW25" s="254"/>
      <c r="AFX25" s="254"/>
      <c r="AFY25" s="254"/>
      <c r="AFZ25" s="254"/>
      <c r="AGA25" s="254"/>
      <c r="AGB25" s="254"/>
      <c r="AGC25" s="254"/>
      <c r="AGD25" s="254"/>
      <c r="AGE25" s="254"/>
      <c r="AGF25" s="254"/>
      <c r="AGG25" s="254"/>
      <c r="AGH25" s="254"/>
      <c r="AGI25" s="254"/>
      <c r="AGJ25" s="254"/>
      <c r="AGK25" s="254"/>
      <c r="AGL25" s="254"/>
      <c r="AGM25" s="254"/>
      <c r="AGN25" s="254"/>
      <c r="AGO25" s="254"/>
      <c r="AGP25" s="254"/>
      <c r="AGQ25" s="254"/>
      <c r="AGR25" s="254"/>
      <c r="AGS25" s="254"/>
      <c r="AGT25" s="254"/>
      <c r="AGU25" s="254"/>
      <c r="AGV25" s="254"/>
      <c r="AGW25" s="254"/>
      <c r="AGX25" s="254"/>
      <c r="AGY25" s="254"/>
      <c r="AGZ25" s="254"/>
      <c r="AHA25" s="254"/>
      <c r="AHB25" s="254"/>
      <c r="AHC25" s="254"/>
      <c r="AHD25" s="254"/>
      <c r="AHE25" s="254"/>
      <c r="AHF25" s="254"/>
      <c r="AHG25" s="254"/>
      <c r="AHH25" s="254"/>
      <c r="AHI25" s="254"/>
      <c r="AHJ25" s="254"/>
      <c r="AHK25" s="254"/>
      <c r="AHL25" s="254"/>
      <c r="AHM25" s="254"/>
      <c r="AHN25" s="254"/>
      <c r="AHO25" s="254"/>
      <c r="AHP25" s="254"/>
      <c r="AHQ25" s="254"/>
      <c r="AHR25" s="254"/>
      <c r="AHS25" s="254"/>
      <c r="AHT25" s="254"/>
      <c r="AHU25" s="254"/>
      <c r="AHV25" s="254"/>
      <c r="AHW25" s="254"/>
      <c r="AHX25" s="254"/>
      <c r="AHY25" s="254"/>
      <c r="AHZ25" s="254"/>
      <c r="AIA25" s="254"/>
      <c r="AIB25" s="254"/>
      <c r="AIC25" s="254"/>
      <c r="AID25" s="254"/>
      <c r="AIE25" s="254"/>
      <c r="AIF25" s="254"/>
      <c r="AIG25" s="254"/>
      <c r="AIH25" s="254"/>
      <c r="AII25" s="254"/>
      <c r="AIJ25" s="254"/>
      <c r="AIK25" s="254"/>
      <c r="AIL25" s="254"/>
      <c r="AIM25" s="254"/>
      <c r="AIN25" s="254"/>
      <c r="AIO25" s="254"/>
      <c r="AIP25" s="254"/>
      <c r="AIQ25" s="254"/>
      <c r="AIR25" s="254"/>
      <c r="AIS25" s="254"/>
      <c r="AIT25" s="254"/>
      <c r="AIU25" s="254"/>
      <c r="AIV25" s="254"/>
      <c r="AIW25" s="254"/>
      <c r="AIX25" s="254"/>
      <c r="AIY25" s="254"/>
      <c r="AIZ25" s="254"/>
      <c r="AJA25" s="254"/>
      <c r="AJB25" s="254"/>
      <c r="AJC25" s="254"/>
      <c r="AJD25" s="254"/>
      <c r="AJE25" s="254"/>
      <c r="AJF25" s="254"/>
      <c r="AJG25" s="254"/>
      <c r="AJH25" s="254"/>
      <c r="AJI25" s="254"/>
      <c r="AJJ25" s="254"/>
      <c r="AJK25" s="254"/>
      <c r="AJL25" s="254"/>
      <c r="AJM25" s="254"/>
      <c r="AJN25" s="254"/>
      <c r="AJO25" s="254"/>
      <c r="AJP25" s="254"/>
      <c r="AJQ25" s="254"/>
      <c r="AJR25" s="254"/>
      <c r="AJS25" s="254"/>
      <c r="AJT25" s="254"/>
      <c r="AJU25" s="254"/>
      <c r="AJV25" s="254"/>
      <c r="AJW25" s="254"/>
      <c r="AJX25" s="254"/>
      <c r="AJY25" s="254"/>
      <c r="AJZ25" s="254"/>
      <c r="AKA25" s="254"/>
      <c r="AKB25" s="254"/>
      <c r="AKC25" s="254"/>
      <c r="AKD25" s="254"/>
      <c r="AKE25" s="254"/>
      <c r="AKF25" s="254"/>
      <c r="AKG25" s="254"/>
      <c r="AKH25" s="254"/>
      <c r="AKI25" s="254"/>
      <c r="AKJ25" s="254"/>
      <c r="AKK25" s="254"/>
      <c r="AKL25" s="254"/>
      <c r="AKM25" s="254"/>
      <c r="AKN25" s="254"/>
      <c r="AKO25" s="254"/>
      <c r="AKP25" s="254"/>
      <c r="AKQ25" s="254"/>
      <c r="AKR25" s="254"/>
      <c r="AKS25" s="254"/>
      <c r="AKT25" s="254"/>
      <c r="AKU25" s="254"/>
      <c r="AKV25" s="254"/>
      <c r="AKW25" s="254"/>
      <c r="AKX25" s="254"/>
      <c r="AKY25" s="254"/>
      <c r="AKZ25" s="254"/>
      <c r="ALA25" s="254"/>
      <c r="ALB25" s="254"/>
      <c r="ALC25" s="254"/>
      <c r="ALD25" s="254"/>
      <c r="ALE25" s="254"/>
      <c r="ALF25" s="254"/>
      <c r="ALG25" s="254"/>
      <c r="ALH25" s="254"/>
      <c r="ALI25" s="254"/>
      <c r="ALJ25" s="254"/>
      <c r="ALK25" s="254"/>
      <c r="ALL25" s="254"/>
      <c r="ALM25" s="254"/>
      <c r="ALN25" s="254"/>
      <c r="ALO25" s="254"/>
      <c r="ALP25" s="254"/>
      <c r="ALQ25" s="254"/>
      <c r="ALR25" s="254"/>
      <c r="ALS25" s="254"/>
      <c r="ALT25" s="254"/>
      <c r="ALU25" s="254"/>
      <c r="ALV25" s="254"/>
      <c r="ALW25" s="254"/>
      <c r="ALX25" s="254"/>
      <c r="ALY25" s="254"/>
      <c r="ALZ25" s="254"/>
      <c r="AMA25" s="254"/>
      <c r="AMB25" s="254"/>
      <c r="AMC25" s="254"/>
      <c r="AMD25" s="254"/>
      <c r="AME25" s="254"/>
      <c r="AMF25" s="254"/>
      <c r="AMG25" s="254"/>
      <c r="AMH25" s="254"/>
      <c r="AMI25" s="254"/>
      <c r="AMJ25" s="254"/>
      <c r="AMK25" s="254"/>
      <c r="AML25" s="254"/>
      <c r="AMM25" s="254"/>
      <c r="AMN25" s="254"/>
      <c r="AMO25" s="254"/>
      <c r="AMP25" s="254"/>
      <c r="AMQ25" s="254"/>
      <c r="AMR25" s="254"/>
      <c r="AMS25" s="254"/>
      <c r="AMT25" s="254"/>
      <c r="AMU25" s="254"/>
      <c r="AMV25" s="254"/>
      <c r="AMW25" s="254"/>
      <c r="AMX25" s="254"/>
      <c r="AMY25" s="254"/>
      <c r="AMZ25" s="254"/>
      <c r="ANA25" s="254"/>
      <c r="ANB25" s="254"/>
      <c r="ANC25" s="254"/>
      <c r="AND25" s="254"/>
      <c r="ANE25" s="254"/>
      <c r="ANF25" s="254"/>
      <c r="ANG25" s="254"/>
      <c r="ANH25" s="254"/>
      <c r="ANI25" s="254"/>
      <c r="ANJ25" s="254"/>
      <c r="ANK25" s="254"/>
      <c r="ANL25" s="254"/>
      <c r="ANM25" s="254"/>
      <c r="ANN25" s="254"/>
      <c r="ANO25" s="254"/>
      <c r="ANP25" s="254"/>
      <c r="ANQ25" s="254"/>
      <c r="ANR25" s="254"/>
      <c r="ANS25" s="254"/>
      <c r="ANT25" s="254"/>
      <c r="ANU25" s="254"/>
      <c r="ANV25" s="254"/>
      <c r="ANW25" s="254"/>
      <c r="ANX25" s="254"/>
      <c r="ANY25" s="254"/>
      <c r="ANZ25" s="254"/>
      <c r="AOA25" s="254"/>
      <c r="AOB25" s="254"/>
      <c r="AOC25" s="254"/>
      <c r="AOD25" s="254"/>
      <c r="AOE25" s="254"/>
      <c r="AOF25" s="254"/>
      <c r="AOG25" s="254"/>
      <c r="AOH25" s="254"/>
      <c r="AOI25" s="254"/>
      <c r="AOJ25" s="254"/>
      <c r="AOK25" s="254"/>
      <c r="AOL25" s="254"/>
      <c r="AOM25" s="254"/>
      <c r="AON25" s="254"/>
      <c r="AOO25" s="254"/>
      <c r="AOP25" s="254"/>
      <c r="AOQ25" s="254"/>
      <c r="AOR25" s="254"/>
      <c r="AOS25" s="254"/>
      <c r="AOT25" s="254"/>
      <c r="AOU25" s="254"/>
      <c r="AOV25" s="254"/>
      <c r="AOW25" s="254"/>
      <c r="AOX25" s="254"/>
      <c r="AOY25" s="254"/>
      <c r="AOZ25" s="254"/>
      <c r="APA25" s="254"/>
      <c r="APB25" s="254"/>
      <c r="APC25" s="254"/>
      <c r="APD25" s="254"/>
      <c r="APE25" s="254"/>
      <c r="APF25" s="254"/>
      <c r="APG25" s="254"/>
      <c r="APH25" s="254"/>
      <c r="API25" s="254"/>
      <c r="APJ25" s="254"/>
      <c r="APK25" s="254"/>
      <c r="APL25" s="254"/>
      <c r="APM25" s="254"/>
      <c r="APN25" s="254"/>
      <c r="APO25" s="254"/>
      <c r="APP25" s="254"/>
      <c r="APQ25" s="254"/>
      <c r="APR25" s="254"/>
      <c r="APS25" s="254"/>
      <c r="APT25" s="254"/>
      <c r="APU25" s="254"/>
      <c r="APV25" s="254"/>
      <c r="APW25" s="254"/>
      <c r="APX25" s="254"/>
      <c r="APY25" s="254"/>
      <c r="APZ25" s="254"/>
      <c r="AQA25" s="254"/>
      <c r="AQB25" s="254"/>
      <c r="AQC25" s="254"/>
      <c r="AQD25" s="254"/>
      <c r="AQE25" s="254"/>
      <c r="AQF25" s="254"/>
      <c r="AQG25" s="254"/>
      <c r="AQH25" s="254"/>
      <c r="AQI25" s="254"/>
      <c r="AQJ25" s="254"/>
      <c r="AQK25" s="254"/>
      <c r="AQL25" s="254"/>
      <c r="AQM25" s="254"/>
      <c r="AQN25" s="254"/>
      <c r="AQO25" s="254"/>
      <c r="AQP25" s="254"/>
      <c r="AQQ25" s="254"/>
      <c r="AQR25" s="254"/>
      <c r="AQS25" s="254"/>
      <c r="AQT25" s="254"/>
      <c r="AQU25" s="254"/>
      <c r="AQV25" s="254"/>
      <c r="AQW25" s="254"/>
      <c r="AQX25" s="254"/>
      <c r="AQY25" s="254"/>
      <c r="AQZ25" s="254"/>
      <c r="ARA25" s="254"/>
      <c r="ARB25" s="254"/>
      <c r="ARC25" s="254"/>
      <c r="ARD25" s="254"/>
      <c r="ARE25" s="254"/>
      <c r="ARF25" s="254"/>
      <c r="ARG25" s="254"/>
      <c r="ARH25" s="254"/>
      <c r="ARI25" s="254"/>
      <c r="ARJ25" s="254"/>
      <c r="ARK25" s="254"/>
      <c r="ARL25" s="254"/>
      <c r="ARM25" s="254"/>
      <c r="ARN25" s="254"/>
      <c r="ARO25" s="254"/>
      <c r="ARP25" s="254"/>
      <c r="ARQ25" s="254"/>
      <c r="ARR25" s="254"/>
      <c r="ARS25" s="254"/>
      <c r="ART25" s="254"/>
      <c r="ARU25" s="254"/>
      <c r="ARV25" s="254"/>
      <c r="ARW25" s="254"/>
      <c r="ARX25" s="254"/>
      <c r="ARY25" s="254"/>
      <c r="ARZ25" s="254"/>
      <c r="ASA25" s="254"/>
      <c r="ASB25" s="254"/>
      <c r="ASC25" s="254"/>
      <c r="ASD25" s="254"/>
      <c r="ASE25" s="254"/>
      <c r="ASF25" s="254"/>
      <c r="ASG25" s="254"/>
      <c r="ASH25" s="254"/>
      <c r="ASI25" s="254"/>
      <c r="ASJ25" s="254"/>
      <c r="ASK25" s="254"/>
      <c r="ASL25" s="254"/>
      <c r="ASM25" s="254"/>
      <c r="ASN25" s="254"/>
      <c r="ASO25" s="254"/>
      <c r="ASP25" s="254"/>
      <c r="ASQ25" s="254"/>
      <c r="ASR25" s="254"/>
      <c r="ASS25" s="254"/>
      <c r="AST25" s="254"/>
      <c r="ASU25" s="254"/>
      <c r="ASV25" s="254"/>
      <c r="ASW25" s="254"/>
      <c r="ASX25" s="254"/>
      <c r="ASY25" s="254"/>
      <c r="ASZ25" s="254"/>
      <c r="ATA25" s="254"/>
      <c r="ATB25" s="254"/>
      <c r="ATC25" s="254"/>
      <c r="ATD25" s="254"/>
      <c r="ATE25" s="254"/>
      <c r="ATF25" s="254"/>
      <c r="ATG25" s="254"/>
      <c r="ATH25" s="254"/>
      <c r="ATI25" s="254"/>
      <c r="ATJ25" s="254"/>
      <c r="ATK25" s="254"/>
      <c r="ATL25" s="254"/>
      <c r="ATM25" s="254"/>
      <c r="ATN25" s="254"/>
      <c r="ATO25" s="254"/>
      <c r="ATP25" s="254"/>
      <c r="ATQ25" s="254"/>
      <c r="ATR25" s="254"/>
      <c r="ATS25" s="254"/>
      <c r="ATT25" s="254"/>
      <c r="ATU25" s="254"/>
      <c r="ATV25" s="254"/>
      <c r="ATW25" s="254"/>
      <c r="ATX25" s="254"/>
      <c r="ATY25" s="254"/>
      <c r="ATZ25" s="254"/>
      <c r="AUA25" s="254"/>
      <c r="AUB25" s="254"/>
      <c r="AUC25" s="254"/>
      <c r="AUD25" s="254"/>
      <c r="AUE25" s="254"/>
      <c r="AUF25" s="254"/>
      <c r="AUG25" s="254"/>
      <c r="AUH25" s="254"/>
      <c r="AUI25" s="254"/>
      <c r="AUJ25" s="254"/>
      <c r="AUK25" s="254"/>
      <c r="AUL25" s="254"/>
      <c r="AUM25" s="254"/>
      <c r="AUN25" s="254"/>
      <c r="AUO25" s="254"/>
      <c r="AUP25" s="254"/>
      <c r="AUQ25" s="254"/>
      <c r="AUR25" s="254"/>
      <c r="AUS25" s="254"/>
      <c r="AUT25" s="254"/>
      <c r="AUU25" s="254"/>
      <c r="AUV25" s="254"/>
      <c r="AUW25" s="254"/>
      <c r="AUX25" s="254"/>
      <c r="AUY25" s="254"/>
      <c r="AUZ25" s="254"/>
      <c r="AVA25" s="254"/>
      <c r="AVB25" s="254"/>
      <c r="AVC25" s="254"/>
      <c r="AVD25" s="254"/>
      <c r="AVE25" s="254"/>
      <c r="AVF25" s="254"/>
      <c r="AVG25" s="254"/>
      <c r="AVH25" s="254"/>
      <c r="AVI25" s="254"/>
      <c r="AVJ25" s="254"/>
      <c r="AVK25" s="254"/>
      <c r="AVL25" s="254"/>
      <c r="AVM25" s="254"/>
      <c r="AVN25" s="254"/>
      <c r="AVO25" s="254"/>
      <c r="AVP25" s="254"/>
      <c r="AVQ25" s="254"/>
      <c r="AVR25" s="254"/>
      <c r="AVS25" s="254"/>
      <c r="AVT25" s="254"/>
      <c r="AVU25" s="254"/>
      <c r="AVV25" s="254"/>
      <c r="AVW25" s="254"/>
      <c r="AVX25" s="254"/>
      <c r="AVY25" s="254"/>
      <c r="AVZ25" s="254"/>
      <c r="AWA25" s="254"/>
      <c r="AWB25" s="254"/>
      <c r="AWC25" s="254"/>
      <c r="AWD25" s="254"/>
      <c r="AWE25" s="254"/>
      <c r="AWF25" s="254"/>
      <c r="AWG25" s="254"/>
      <c r="AWH25" s="254"/>
      <c r="AWI25" s="254"/>
      <c r="AWJ25" s="254"/>
      <c r="AWK25" s="254"/>
      <c r="AWL25" s="254"/>
      <c r="AWM25" s="254"/>
      <c r="AWN25" s="254"/>
      <c r="AWO25" s="254"/>
      <c r="AWP25" s="254"/>
      <c r="AWQ25" s="254"/>
      <c r="AWR25" s="254"/>
      <c r="AWS25" s="254"/>
      <c r="AWT25" s="254"/>
      <c r="AWU25" s="254"/>
      <c r="AWV25" s="254"/>
      <c r="AWW25" s="254"/>
      <c r="AWX25" s="254"/>
      <c r="AWY25" s="254"/>
      <c r="AWZ25" s="254"/>
      <c r="AXA25" s="254"/>
      <c r="AXB25" s="254"/>
      <c r="AXC25" s="254"/>
      <c r="AXD25" s="254"/>
      <c r="AXE25" s="254"/>
      <c r="AXF25" s="254"/>
      <c r="AXG25" s="254"/>
      <c r="AXH25" s="254"/>
      <c r="AXI25" s="254"/>
      <c r="AXJ25" s="254"/>
      <c r="AXK25" s="254"/>
      <c r="AXL25" s="254"/>
      <c r="AXM25" s="254"/>
      <c r="AXN25" s="254"/>
      <c r="AXO25" s="254"/>
      <c r="AXP25" s="254"/>
      <c r="AXQ25" s="254"/>
      <c r="AXR25" s="254"/>
      <c r="AXS25" s="254"/>
      <c r="AXT25" s="254"/>
      <c r="AXU25" s="254"/>
      <c r="AXV25" s="254"/>
      <c r="AXW25" s="254"/>
      <c r="AXX25" s="254"/>
      <c r="AXY25" s="254"/>
      <c r="AXZ25" s="254"/>
      <c r="AYA25" s="254"/>
      <c r="AYB25" s="254"/>
      <c r="AYC25" s="254"/>
      <c r="AYD25" s="254"/>
      <c r="AYE25" s="254"/>
      <c r="AYF25" s="254"/>
      <c r="AYG25" s="254"/>
      <c r="AYH25" s="254"/>
      <c r="AYI25" s="254"/>
      <c r="AYJ25" s="254"/>
      <c r="AYK25" s="254"/>
      <c r="AYL25" s="254"/>
      <c r="AYM25" s="254"/>
      <c r="AYN25" s="254"/>
      <c r="AYO25" s="254"/>
      <c r="AYP25" s="254"/>
      <c r="AYQ25" s="254"/>
      <c r="AYR25" s="254"/>
      <c r="AYS25" s="254"/>
      <c r="AYT25" s="254"/>
      <c r="AYU25" s="254"/>
      <c r="AYV25" s="254"/>
      <c r="AYW25" s="254"/>
      <c r="AYX25" s="254"/>
      <c r="AYY25" s="254"/>
      <c r="AYZ25" s="254"/>
      <c r="AZA25" s="254"/>
      <c r="AZB25" s="254"/>
      <c r="AZC25" s="254"/>
      <c r="AZD25" s="254"/>
      <c r="AZE25" s="254"/>
      <c r="AZF25" s="254"/>
      <c r="AZG25" s="254"/>
      <c r="AZH25" s="254"/>
      <c r="AZI25" s="254"/>
      <c r="AZJ25" s="254"/>
      <c r="AZK25" s="254"/>
      <c r="AZL25" s="254"/>
      <c r="AZM25" s="254"/>
      <c r="AZN25" s="254"/>
      <c r="AZO25" s="254"/>
      <c r="AZP25" s="254"/>
      <c r="AZQ25" s="254"/>
      <c r="AZR25" s="254"/>
      <c r="AZS25" s="254"/>
      <c r="AZT25" s="254"/>
      <c r="AZU25" s="254"/>
      <c r="AZV25" s="254"/>
      <c r="AZW25" s="254"/>
      <c r="AZX25" s="254"/>
      <c r="AZY25" s="254"/>
      <c r="AZZ25" s="254"/>
      <c r="BAA25" s="254"/>
      <c r="BAB25" s="254"/>
      <c r="BAC25" s="254"/>
      <c r="BAD25" s="254"/>
      <c r="BAE25" s="254"/>
      <c r="BAF25" s="254"/>
      <c r="BAG25" s="254"/>
      <c r="BAH25" s="254"/>
      <c r="BAI25" s="254"/>
      <c r="BAJ25" s="254"/>
      <c r="BAK25" s="254"/>
      <c r="BAL25" s="254"/>
      <c r="BAM25" s="254"/>
      <c r="BAN25" s="254"/>
      <c r="BAO25" s="254"/>
      <c r="BAP25" s="254"/>
      <c r="BAQ25" s="254"/>
      <c r="BAR25" s="254"/>
      <c r="BAS25" s="254"/>
      <c r="BAT25" s="254"/>
      <c r="BAU25" s="254"/>
      <c r="BAV25" s="254"/>
      <c r="BAW25" s="254"/>
      <c r="BAX25" s="254"/>
      <c r="BAY25" s="254"/>
      <c r="BAZ25" s="254"/>
      <c r="BBA25" s="254"/>
      <c r="BBB25" s="254"/>
      <c r="BBC25" s="254"/>
      <c r="BBD25" s="254"/>
      <c r="BBE25" s="254"/>
      <c r="BBF25" s="254"/>
      <c r="BBG25" s="254"/>
      <c r="BBH25" s="254"/>
      <c r="BBI25" s="254"/>
      <c r="BBJ25" s="254"/>
      <c r="BBK25" s="254"/>
      <c r="BBL25" s="254"/>
      <c r="BBM25" s="254"/>
      <c r="BBN25" s="254"/>
      <c r="BBO25" s="254"/>
      <c r="BBP25" s="254"/>
      <c r="BBQ25" s="254"/>
      <c r="BBR25" s="254"/>
      <c r="BBS25" s="254"/>
      <c r="BBT25" s="254"/>
      <c r="BBU25" s="254"/>
      <c r="BBV25" s="254"/>
      <c r="BBW25" s="254"/>
      <c r="BBX25" s="254"/>
      <c r="BBY25" s="254"/>
      <c r="BBZ25" s="254"/>
      <c r="BCA25" s="254"/>
      <c r="BCB25" s="254"/>
      <c r="BCC25" s="254"/>
      <c r="BCD25" s="254"/>
      <c r="BCE25" s="254"/>
      <c r="BCF25" s="254"/>
      <c r="BCG25" s="254"/>
      <c r="BCH25" s="254"/>
      <c r="BCI25" s="254"/>
      <c r="BCJ25" s="254"/>
      <c r="BCK25" s="254"/>
      <c r="BCL25" s="254"/>
      <c r="BCM25" s="254"/>
      <c r="BCN25" s="254"/>
      <c r="BCO25" s="254"/>
      <c r="BCP25" s="254"/>
      <c r="BCQ25" s="254"/>
      <c r="BCR25" s="254"/>
      <c r="BCS25" s="254"/>
      <c r="BCT25" s="254"/>
      <c r="BCU25" s="254"/>
      <c r="BCV25" s="254"/>
      <c r="BCW25" s="254"/>
      <c r="BCX25" s="254"/>
      <c r="BCY25" s="254"/>
      <c r="BCZ25" s="254"/>
      <c r="BDA25" s="254"/>
      <c r="BDB25" s="254"/>
      <c r="BDC25" s="254"/>
      <c r="BDD25" s="254"/>
      <c r="BDE25" s="254"/>
      <c r="BDF25" s="254"/>
      <c r="BDG25" s="254"/>
      <c r="BDH25" s="254"/>
      <c r="BDI25" s="254"/>
      <c r="BDJ25" s="254"/>
      <c r="BDK25" s="254"/>
      <c r="BDL25" s="254"/>
      <c r="BDM25" s="254"/>
      <c r="BDN25" s="254"/>
      <c r="BDO25" s="254"/>
      <c r="BDP25" s="254"/>
      <c r="BDQ25" s="254"/>
      <c r="BDR25" s="254"/>
      <c r="BDS25" s="254"/>
      <c r="BDT25" s="254"/>
      <c r="BDU25" s="254"/>
      <c r="BDV25" s="254"/>
      <c r="BDW25" s="254"/>
      <c r="BDX25" s="254"/>
      <c r="BDY25" s="254"/>
      <c r="BDZ25" s="254"/>
      <c r="BEA25" s="254"/>
      <c r="BEB25" s="254"/>
      <c r="BEC25" s="254"/>
      <c r="BED25" s="254"/>
      <c r="BEE25" s="254"/>
      <c r="BEF25" s="254"/>
      <c r="BEG25" s="254"/>
      <c r="BEH25" s="254"/>
      <c r="BEI25" s="254"/>
      <c r="BEJ25" s="254"/>
      <c r="BEK25" s="254"/>
      <c r="BEL25" s="254"/>
      <c r="BEM25" s="254"/>
      <c r="BEN25" s="254"/>
      <c r="BEO25" s="254"/>
      <c r="BEP25" s="254"/>
      <c r="BEQ25" s="254"/>
      <c r="BER25" s="254"/>
      <c r="BES25" s="254"/>
      <c r="BET25" s="254"/>
      <c r="BEU25" s="254"/>
      <c r="BEV25" s="254"/>
      <c r="BEW25" s="254"/>
      <c r="BEX25" s="254"/>
      <c r="BEY25" s="254"/>
      <c r="BEZ25" s="254"/>
      <c r="BFA25" s="254"/>
      <c r="BFB25" s="254"/>
      <c r="BFC25" s="254"/>
      <c r="BFD25" s="254"/>
      <c r="BFE25" s="254"/>
      <c r="BFF25" s="254"/>
      <c r="BFG25" s="254"/>
      <c r="BFH25" s="254"/>
      <c r="BFI25" s="254"/>
      <c r="BFJ25" s="254"/>
      <c r="BFK25" s="254"/>
      <c r="BFL25" s="254"/>
      <c r="BFM25" s="254"/>
      <c r="BFN25" s="254"/>
      <c r="BFO25" s="254"/>
      <c r="BFP25" s="254"/>
      <c r="BFQ25" s="254"/>
      <c r="BFR25" s="254"/>
      <c r="BFS25" s="254"/>
      <c r="BFT25" s="254"/>
      <c r="BFU25" s="254"/>
      <c r="BFV25" s="254"/>
      <c r="BFW25" s="254"/>
      <c r="BFX25" s="254"/>
      <c r="BFY25" s="254"/>
      <c r="BFZ25" s="254"/>
      <c r="BGA25" s="254"/>
      <c r="BGB25" s="254"/>
      <c r="BGC25" s="254"/>
      <c r="BGD25" s="254"/>
      <c r="BGE25" s="254"/>
      <c r="BGF25" s="254"/>
      <c r="BGG25" s="254"/>
      <c r="BGH25" s="254"/>
      <c r="BGI25" s="254"/>
      <c r="BGJ25" s="254"/>
      <c r="BGK25" s="254"/>
      <c r="BGL25" s="254"/>
      <c r="BGM25" s="254"/>
      <c r="BGN25" s="254"/>
      <c r="BGO25" s="254"/>
      <c r="BGP25" s="254"/>
      <c r="BGQ25" s="254"/>
      <c r="BGR25" s="254"/>
      <c r="BGS25" s="254"/>
      <c r="BGT25" s="254"/>
      <c r="BGU25" s="254"/>
      <c r="BGV25" s="254"/>
      <c r="BGW25" s="254"/>
      <c r="BGX25" s="254"/>
      <c r="BGY25" s="254"/>
      <c r="BGZ25" s="254"/>
      <c r="BHA25" s="254"/>
      <c r="BHB25" s="254"/>
      <c r="BHC25" s="254"/>
      <c r="BHD25" s="254"/>
      <c r="BHE25" s="254"/>
      <c r="BHF25" s="254"/>
      <c r="BHG25" s="254"/>
      <c r="BHH25" s="254"/>
      <c r="BHI25" s="254"/>
      <c r="BHJ25" s="254"/>
      <c r="BHK25" s="254"/>
      <c r="BHL25" s="254"/>
      <c r="BHM25" s="254"/>
      <c r="BHN25" s="254"/>
      <c r="BHO25" s="254"/>
      <c r="BHP25" s="254"/>
      <c r="BHQ25" s="254"/>
      <c r="BHR25" s="254"/>
      <c r="BHS25" s="254"/>
      <c r="BHT25" s="254"/>
      <c r="BHU25" s="254"/>
      <c r="BHV25" s="254"/>
      <c r="BHW25" s="254"/>
      <c r="BHX25" s="254"/>
      <c r="BHY25" s="254"/>
      <c r="BHZ25" s="254"/>
      <c r="BIA25" s="254"/>
      <c r="BIB25" s="254"/>
      <c r="BIC25" s="254"/>
      <c r="BID25" s="254"/>
      <c r="BIE25" s="254"/>
      <c r="BIF25" s="254"/>
      <c r="BIG25" s="254"/>
      <c r="BIH25" s="254"/>
      <c r="BII25" s="254"/>
      <c r="BIJ25" s="254"/>
      <c r="BIK25" s="254"/>
      <c r="BIL25" s="254"/>
      <c r="BIM25" s="254"/>
      <c r="BIN25" s="254"/>
      <c r="BIO25" s="254"/>
      <c r="BIP25" s="254"/>
      <c r="BIQ25" s="254"/>
      <c r="BIR25" s="254"/>
      <c r="BIS25" s="254"/>
      <c r="BIT25" s="254"/>
      <c r="BIU25" s="254"/>
      <c r="BIV25" s="254"/>
      <c r="BIW25" s="254"/>
      <c r="BIX25" s="254"/>
      <c r="BIY25" s="254"/>
      <c r="BIZ25" s="254"/>
      <c r="BJA25" s="254"/>
      <c r="BJB25" s="254"/>
      <c r="BJC25" s="254"/>
      <c r="BJD25" s="254"/>
      <c r="BJE25" s="254"/>
      <c r="BJF25" s="254"/>
      <c r="BJG25" s="254"/>
      <c r="BJH25" s="254"/>
      <c r="BJI25" s="254"/>
      <c r="BJJ25" s="254"/>
      <c r="BJK25" s="254"/>
      <c r="BJL25" s="254"/>
      <c r="BJM25" s="254"/>
      <c r="BJN25" s="254"/>
      <c r="BJO25" s="254"/>
      <c r="BJP25" s="254"/>
      <c r="BJQ25" s="254"/>
      <c r="BJR25" s="254"/>
      <c r="BJS25" s="254"/>
      <c r="BJT25" s="254"/>
      <c r="BJU25" s="254"/>
      <c r="BJV25" s="254"/>
      <c r="BJW25" s="254"/>
      <c r="BJX25" s="254"/>
      <c r="BJY25" s="254"/>
      <c r="BJZ25" s="254"/>
      <c r="BKA25" s="254"/>
      <c r="BKB25" s="254"/>
      <c r="BKC25" s="254"/>
      <c r="BKD25" s="254"/>
      <c r="BKE25" s="254"/>
      <c r="BKF25" s="254"/>
      <c r="BKG25" s="254"/>
      <c r="BKH25" s="254"/>
      <c r="BKI25" s="254"/>
      <c r="BKJ25" s="254"/>
      <c r="BKK25" s="254"/>
      <c r="BKL25" s="254"/>
      <c r="BKM25" s="254"/>
      <c r="BKN25" s="254"/>
      <c r="BKO25" s="254"/>
      <c r="BKP25" s="254"/>
      <c r="BKQ25" s="254"/>
      <c r="BKR25" s="254"/>
      <c r="BKS25" s="254"/>
      <c r="BKT25" s="254"/>
      <c r="BKU25" s="254"/>
      <c r="BKV25" s="254"/>
      <c r="BKW25" s="254"/>
      <c r="BKX25" s="254"/>
      <c r="BKY25" s="254"/>
      <c r="BKZ25" s="254"/>
      <c r="BLA25" s="254"/>
      <c r="BLB25" s="254"/>
      <c r="BLC25" s="254"/>
      <c r="BLD25" s="254"/>
      <c r="BLE25" s="254"/>
      <c r="BLF25" s="254"/>
      <c r="BLG25" s="254"/>
      <c r="BLH25" s="254"/>
      <c r="BLI25" s="254"/>
      <c r="BLJ25" s="254"/>
      <c r="BLK25" s="254"/>
      <c r="BLL25" s="254"/>
      <c r="BLM25" s="254"/>
      <c r="BLN25" s="254"/>
      <c r="BLO25" s="254"/>
      <c r="BLP25" s="254"/>
      <c r="BLQ25" s="254"/>
      <c r="BLR25" s="254"/>
      <c r="BLS25" s="254"/>
      <c r="BLT25" s="254"/>
      <c r="BLU25" s="254"/>
      <c r="BLV25" s="254"/>
      <c r="BLW25" s="254"/>
      <c r="BLX25" s="254"/>
      <c r="BLY25" s="254"/>
      <c r="BLZ25" s="254"/>
      <c r="BMA25" s="254"/>
      <c r="BMB25" s="254"/>
      <c r="BMC25" s="254"/>
      <c r="BMD25" s="254"/>
      <c r="BME25" s="254"/>
      <c r="BMF25" s="254"/>
      <c r="BMG25" s="254"/>
      <c r="BMH25" s="254"/>
      <c r="BMI25" s="254"/>
      <c r="BMJ25" s="254"/>
      <c r="BMK25" s="254"/>
      <c r="BML25" s="254"/>
      <c r="BMM25" s="254"/>
      <c r="BMN25" s="254"/>
      <c r="BMO25" s="254"/>
      <c r="BMP25" s="254"/>
      <c r="BMQ25" s="254"/>
      <c r="BMR25" s="254"/>
      <c r="BMS25" s="254"/>
      <c r="BMT25" s="254"/>
      <c r="BMU25" s="254"/>
      <c r="BMV25" s="254"/>
      <c r="BMW25" s="254"/>
      <c r="BMX25" s="254"/>
      <c r="BMY25" s="254"/>
      <c r="BMZ25" s="254"/>
      <c r="BNA25" s="254"/>
      <c r="BNB25" s="254"/>
      <c r="BNC25" s="254"/>
      <c r="BND25" s="254"/>
      <c r="BNE25" s="254"/>
      <c r="BNF25" s="254"/>
      <c r="BNG25" s="254"/>
      <c r="BNH25" s="254"/>
      <c r="BNI25" s="254"/>
      <c r="BNJ25" s="254"/>
      <c r="BNK25" s="254"/>
      <c r="BNL25" s="254"/>
      <c r="BNM25" s="254"/>
      <c r="BNN25" s="254"/>
      <c r="BNO25" s="254"/>
      <c r="BNP25" s="254"/>
      <c r="BNQ25" s="254"/>
      <c r="BNR25" s="254"/>
      <c r="BNS25" s="254"/>
      <c r="BNT25" s="254"/>
      <c r="BNU25" s="254"/>
      <c r="BNV25" s="254"/>
    </row>
    <row r="26" spans="1:1738" x14ac:dyDescent="0.25">
      <c r="A26" s="140" t="s">
        <v>320</v>
      </c>
      <c r="B26" s="15" t="s">
        <v>21</v>
      </c>
      <c r="C26" s="118" t="s">
        <v>107</v>
      </c>
      <c r="D26" s="472">
        <v>25.46</v>
      </c>
      <c r="E26" s="299">
        <v>94</v>
      </c>
      <c r="F26" s="431">
        <v>0.14893617021276595</v>
      </c>
      <c r="G26" s="243">
        <v>8.5999999999999993E-2</v>
      </c>
      <c r="H26" s="14">
        <v>0.73529999999999995</v>
      </c>
      <c r="I26" s="284">
        <v>5</v>
      </c>
      <c r="J26" s="64">
        <v>0.27027027027027029</v>
      </c>
      <c r="K26" s="244">
        <v>0.71621621621621623</v>
      </c>
      <c r="L26" s="246">
        <v>16</v>
      </c>
      <c r="M26" s="251">
        <v>0.51060487038491753</v>
      </c>
      <c r="N26" s="440">
        <v>6</v>
      </c>
      <c r="O26" s="440">
        <v>0</v>
      </c>
      <c r="P26" s="440">
        <v>6</v>
      </c>
      <c r="Q26" s="39"/>
      <c r="R26" s="140" t="s">
        <v>320</v>
      </c>
    </row>
    <row r="27" spans="1:1738" s="17" customFormat="1" ht="15.75" customHeight="1" x14ac:dyDescent="0.25">
      <c r="A27" s="140" t="s">
        <v>19</v>
      </c>
      <c r="B27" s="15" t="s">
        <v>18</v>
      </c>
      <c r="C27" s="118">
        <v>53</v>
      </c>
      <c r="D27" s="472">
        <v>11</v>
      </c>
      <c r="E27" s="299">
        <v>18</v>
      </c>
      <c r="F27" s="431">
        <v>0.16666666666666666</v>
      </c>
      <c r="G27" s="243">
        <v>8.3000000000000004E-2</v>
      </c>
      <c r="H27" s="14">
        <v>0.56820000000000004</v>
      </c>
      <c r="I27" s="283">
        <v>5</v>
      </c>
      <c r="J27" s="244">
        <v>0.26666666666666666</v>
      </c>
      <c r="K27" s="244">
        <v>0.6</v>
      </c>
      <c r="L27" s="246">
        <v>5</v>
      </c>
      <c r="M27" s="251">
        <v>0.45454545454545453</v>
      </c>
      <c r="N27" s="440">
        <v>2</v>
      </c>
      <c r="O27" s="440">
        <v>2</v>
      </c>
      <c r="P27" s="440">
        <v>0</v>
      </c>
      <c r="Q27" s="39"/>
      <c r="R27" s="140" t="s">
        <v>19</v>
      </c>
    </row>
    <row r="28" spans="1:1738" ht="15" customHeight="1" x14ac:dyDescent="0.25">
      <c r="A28" s="140" t="s">
        <v>27</v>
      </c>
      <c r="B28" s="15" t="s">
        <v>21</v>
      </c>
      <c r="C28" s="118">
        <v>60</v>
      </c>
      <c r="D28" s="472">
        <v>40</v>
      </c>
      <c r="E28" s="299">
        <v>97</v>
      </c>
      <c r="F28" s="431">
        <v>0.12371134020618557</v>
      </c>
      <c r="G28" s="243">
        <v>9.9000000000000005E-2</v>
      </c>
      <c r="H28" s="14">
        <v>0.66290000000000004</v>
      </c>
      <c r="I28" s="283">
        <v>6</v>
      </c>
      <c r="J28" s="244">
        <v>0.3783783783783784</v>
      </c>
      <c r="K28" s="244">
        <v>0.55405405405405406</v>
      </c>
      <c r="L28" s="246">
        <v>14</v>
      </c>
      <c r="M28" s="251">
        <v>0.27500000000000002</v>
      </c>
      <c r="N28" s="440">
        <v>2</v>
      </c>
      <c r="O28" s="440">
        <v>1</v>
      </c>
      <c r="P28" s="440">
        <v>1</v>
      </c>
      <c r="Q28" s="39"/>
      <c r="R28" s="140" t="s">
        <v>27</v>
      </c>
    </row>
    <row r="29" spans="1:1738" x14ac:dyDescent="0.25">
      <c r="A29" s="140" t="s">
        <v>36</v>
      </c>
      <c r="B29" s="15" t="s">
        <v>21</v>
      </c>
      <c r="C29" s="118">
        <v>73</v>
      </c>
      <c r="D29" s="472">
        <v>12.5</v>
      </c>
      <c r="E29" s="300">
        <v>35</v>
      </c>
      <c r="F29" s="431">
        <v>8.5714285714285715E-2</v>
      </c>
      <c r="G29" s="243">
        <v>0.53500000000000003</v>
      </c>
      <c r="H29" s="396">
        <v>0.44259999999999999</v>
      </c>
      <c r="I29" s="283">
        <v>6</v>
      </c>
      <c r="J29" s="244">
        <v>0.3125</v>
      </c>
      <c r="K29" s="244">
        <v>0.625</v>
      </c>
      <c r="L29" s="246">
        <v>4</v>
      </c>
      <c r="M29" s="251">
        <v>0.32</v>
      </c>
      <c r="N29" s="440">
        <v>0</v>
      </c>
      <c r="O29" s="440">
        <v>4</v>
      </c>
      <c r="P29" s="440">
        <v>-4</v>
      </c>
      <c r="Q29" s="39"/>
      <c r="R29" s="140" t="s">
        <v>36</v>
      </c>
    </row>
    <row r="30" spans="1:1738" x14ac:dyDescent="0.25">
      <c r="A30" s="140" t="s">
        <v>33</v>
      </c>
      <c r="B30" s="15" t="s">
        <v>21</v>
      </c>
      <c r="C30" s="118">
        <v>74</v>
      </c>
      <c r="D30" s="472">
        <v>18</v>
      </c>
      <c r="E30" s="299">
        <v>32</v>
      </c>
      <c r="F30" s="431">
        <v>0</v>
      </c>
      <c r="G30" s="243">
        <v>0.318</v>
      </c>
      <c r="H30" s="396">
        <v>0.46810000000000002</v>
      </c>
      <c r="I30" s="283">
        <v>4.9000000000000004</v>
      </c>
      <c r="J30" s="244">
        <v>0.2857142857142857</v>
      </c>
      <c r="K30" s="244">
        <v>0.6428571428571429</v>
      </c>
      <c r="L30" s="246">
        <v>7</v>
      </c>
      <c r="M30" s="252">
        <v>0.3888888888888889</v>
      </c>
      <c r="N30" s="440">
        <v>0</v>
      </c>
      <c r="O30" s="440">
        <v>1</v>
      </c>
      <c r="P30" s="440">
        <v>-1</v>
      </c>
      <c r="Q30" s="39"/>
      <c r="R30" s="140" t="s">
        <v>33</v>
      </c>
    </row>
    <row r="31" spans="1:1738" s="17" customFormat="1" x14ac:dyDescent="0.25">
      <c r="A31" s="140" t="s">
        <v>322</v>
      </c>
      <c r="B31" s="15" t="s">
        <v>21</v>
      </c>
      <c r="C31" s="118" t="s">
        <v>157</v>
      </c>
      <c r="D31" s="476">
        <v>26</v>
      </c>
      <c r="E31" s="302">
        <v>5</v>
      </c>
      <c r="F31" s="431">
        <v>0</v>
      </c>
      <c r="G31" s="243">
        <v>0.28599999999999998</v>
      </c>
      <c r="H31" s="23">
        <v>0.5</v>
      </c>
      <c r="I31" s="283">
        <v>6</v>
      </c>
      <c r="J31" s="64">
        <v>0.44444444444444442</v>
      </c>
      <c r="K31" s="244">
        <v>0.55555555555555558</v>
      </c>
      <c r="L31" s="246">
        <v>4</v>
      </c>
      <c r="M31" s="252">
        <v>0.19230769230769232</v>
      </c>
      <c r="N31" s="440">
        <v>0</v>
      </c>
      <c r="O31" s="440">
        <v>6</v>
      </c>
      <c r="P31" s="440">
        <v>-6</v>
      </c>
      <c r="Q31" s="15"/>
      <c r="R31" s="140" t="s">
        <v>322</v>
      </c>
    </row>
    <row r="32" spans="1:1738" s="17" customFormat="1" x14ac:dyDescent="0.25">
      <c r="A32" s="140" t="s">
        <v>30</v>
      </c>
      <c r="B32" s="15" t="s">
        <v>21</v>
      </c>
      <c r="C32" s="118">
        <v>81</v>
      </c>
      <c r="D32" s="472">
        <v>29.45</v>
      </c>
      <c r="E32" s="300">
        <v>61</v>
      </c>
      <c r="F32" s="431">
        <v>8.1967213114754092E-2</v>
      </c>
      <c r="G32" s="243">
        <v>0.17399999999999999</v>
      </c>
      <c r="H32" s="14">
        <v>0.62960000000000005</v>
      </c>
      <c r="I32" s="283">
        <v>6.5</v>
      </c>
      <c r="J32" s="280">
        <v>0.5625</v>
      </c>
      <c r="K32" s="280">
        <v>0.33333333333333331</v>
      </c>
      <c r="L32" s="246">
        <v>8</v>
      </c>
      <c r="M32" s="252">
        <v>0.30560271646859083</v>
      </c>
      <c r="N32" s="440">
        <v>1</v>
      </c>
      <c r="O32" s="440">
        <v>3</v>
      </c>
      <c r="P32" s="440">
        <v>-2</v>
      </c>
      <c r="Q32" s="15"/>
      <c r="R32" s="140" t="s">
        <v>30</v>
      </c>
    </row>
    <row r="33" spans="1:1738" s="17" customFormat="1" x14ac:dyDescent="0.25">
      <c r="A33" s="140" t="s">
        <v>32</v>
      </c>
      <c r="B33" s="15" t="s">
        <v>21</v>
      </c>
      <c r="C33" s="118">
        <v>90</v>
      </c>
      <c r="D33" s="472">
        <v>11</v>
      </c>
      <c r="E33" s="300">
        <v>41</v>
      </c>
      <c r="F33" s="431">
        <v>2.4390243902439025E-2</v>
      </c>
      <c r="G33" s="243">
        <v>0.32900000000000001</v>
      </c>
      <c r="H33" s="14">
        <v>0.5</v>
      </c>
      <c r="I33" s="283">
        <v>5.6</v>
      </c>
      <c r="J33" s="280">
        <v>0.24</v>
      </c>
      <c r="K33" s="280">
        <v>0.72</v>
      </c>
      <c r="L33" s="246">
        <v>5</v>
      </c>
      <c r="M33" s="251">
        <v>0.36363636363636365</v>
      </c>
      <c r="N33" s="440">
        <v>1</v>
      </c>
      <c r="O33" s="440">
        <v>3</v>
      </c>
      <c r="P33" s="440">
        <v>-2</v>
      </c>
      <c r="Q33" s="15"/>
      <c r="R33" s="140" t="s">
        <v>32</v>
      </c>
    </row>
    <row r="34" spans="1:1738" s="17" customFormat="1" x14ac:dyDescent="0.25">
      <c r="A34" s="141" t="s">
        <v>28</v>
      </c>
      <c r="B34" s="15" t="s">
        <v>21</v>
      </c>
      <c r="C34" s="118">
        <v>94</v>
      </c>
      <c r="D34" s="472">
        <v>37</v>
      </c>
      <c r="E34" s="300">
        <v>70</v>
      </c>
      <c r="F34" s="431">
        <v>8.5714285714285715E-2</v>
      </c>
      <c r="G34" s="243">
        <v>0.25700000000000001</v>
      </c>
      <c r="H34" s="23">
        <v>0.35149999999999998</v>
      </c>
      <c r="I34" s="283">
        <v>5.8</v>
      </c>
      <c r="J34" s="280">
        <v>0.52941176470588236</v>
      </c>
      <c r="K34" s="280">
        <v>0.44117647058823528</v>
      </c>
      <c r="L34" s="246">
        <v>14</v>
      </c>
      <c r="M34" s="251">
        <v>0.3783783783783784</v>
      </c>
      <c r="N34" s="440">
        <v>0</v>
      </c>
      <c r="O34" s="440">
        <v>4</v>
      </c>
      <c r="P34" s="440">
        <v>-4</v>
      </c>
      <c r="Q34" s="15"/>
      <c r="R34" s="141" t="s">
        <v>28</v>
      </c>
    </row>
    <row r="35" spans="1:1738" s="17" customFormat="1" x14ac:dyDescent="0.25">
      <c r="A35" s="140" t="s">
        <v>34</v>
      </c>
      <c r="B35" s="15" t="s">
        <v>21</v>
      </c>
      <c r="C35" s="118">
        <v>108</v>
      </c>
      <c r="D35" s="472">
        <v>9</v>
      </c>
      <c r="E35" s="299">
        <v>4</v>
      </c>
      <c r="F35" s="431">
        <v>0</v>
      </c>
      <c r="G35" s="243">
        <v>0.17899999999999999</v>
      </c>
      <c r="H35" s="23">
        <v>0.42109999999999997</v>
      </c>
      <c r="I35" s="283">
        <v>5.5</v>
      </c>
      <c r="J35" s="280">
        <v>0.64</v>
      </c>
      <c r="K35" s="280">
        <v>0.28000000000000003</v>
      </c>
      <c r="L35" s="246">
        <v>2</v>
      </c>
      <c r="M35" s="251">
        <v>0.22222222222222221</v>
      </c>
      <c r="N35" s="440">
        <v>1</v>
      </c>
      <c r="O35" s="440">
        <v>7</v>
      </c>
      <c r="P35" s="440">
        <v>-6</v>
      </c>
      <c r="Q35" s="15"/>
      <c r="R35" s="140" t="s">
        <v>34</v>
      </c>
    </row>
    <row r="36" spans="1:1738" s="17" customFormat="1" x14ac:dyDescent="0.25">
      <c r="A36" s="140" t="s">
        <v>25</v>
      </c>
      <c r="B36" s="15" t="s">
        <v>21</v>
      </c>
      <c r="C36" s="118">
        <v>110</v>
      </c>
      <c r="D36" s="472">
        <v>44.3</v>
      </c>
      <c r="E36" s="299">
        <v>131</v>
      </c>
      <c r="F36" s="431">
        <v>3.8167938931297711E-2</v>
      </c>
      <c r="G36" s="243">
        <v>0.23499999999999999</v>
      </c>
      <c r="H36" s="23">
        <v>0.35010000000000002</v>
      </c>
      <c r="I36" s="283">
        <v>6</v>
      </c>
      <c r="J36" s="281">
        <v>0.25609756097560976</v>
      </c>
      <c r="K36" s="281">
        <v>0.70731707317073167</v>
      </c>
      <c r="L36" s="246">
        <v>18</v>
      </c>
      <c r="M36" s="251">
        <v>0.36117381489841988</v>
      </c>
      <c r="N36" s="440">
        <v>3</v>
      </c>
      <c r="O36" s="440">
        <v>3</v>
      </c>
      <c r="P36" s="440">
        <v>0</v>
      </c>
      <c r="Q36" s="15"/>
      <c r="R36" s="140" t="s">
        <v>25</v>
      </c>
    </row>
    <row r="37" spans="1:1738" s="17" customFormat="1" x14ac:dyDescent="0.25">
      <c r="A37" s="140" t="s">
        <v>31</v>
      </c>
      <c r="B37" s="15" t="s">
        <v>21</v>
      </c>
      <c r="C37" s="118" t="s">
        <v>163</v>
      </c>
      <c r="D37" s="472">
        <v>28</v>
      </c>
      <c r="E37" s="300">
        <v>86</v>
      </c>
      <c r="F37" s="431">
        <v>0.15116279069767441</v>
      </c>
      <c r="G37" s="243">
        <v>0.49399999999999999</v>
      </c>
      <c r="H37" s="23">
        <v>0.38250000000000001</v>
      </c>
      <c r="I37" s="283">
        <v>6.3</v>
      </c>
      <c r="J37" s="280">
        <v>0.56521739130434778</v>
      </c>
      <c r="K37" s="280">
        <v>0.34782608695652173</v>
      </c>
      <c r="L37" s="245">
        <v>6</v>
      </c>
      <c r="M37" s="251">
        <v>0.21428571428571427</v>
      </c>
      <c r="N37" s="440">
        <v>2</v>
      </c>
      <c r="O37" s="440">
        <v>6</v>
      </c>
      <c r="P37" s="440">
        <v>-4</v>
      </c>
      <c r="Q37" s="15"/>
      <c r="R37" s="140" t="s">
        <v>31</v>
      </c>
    </row>
    <row r="38" spans="1:1738" s="254" customFormat="1" x14ac:dyDescent="0.25">
      <c r="A38" s="9" t="s">
        <v>70</v>
      </c>
      <c r="B38" s="15" t="s">
        <v>21</v>
      </c>
      <c r="C38" s="72" t="s">
        <v>166</v>
      </c>
      <c r="D38" s="473">
        <v>11.01</v>
      </c>
      <c r="E38" s="300">
        <v>23</v>
      </c>
      <c r="F38" s="298">
        <v>0</v>
      </c>
      <c r="G38" s="287">
        <v>0.51800000000000002</v>
      </c>
      <c r="H38" s="14">
        <v>0.56820000000000004</v>
      </c>
      <c r="I38" s="488">
        <v>5.3</v>
      </c>
      <c r="J38" s="396">
        <v>0.4</v>
      </c>
      <c r="K38" s="396">
        <v>0.53333333333333333</v>
      </c>
      <c r="L38" s="245">
        <v>3</v>
      </c>
      <c r="M38" s="252">
        <v>0.18165304268846502</v>
      </c>
      <c r="N38" s="440">
        <v>0</v>
      </c>
      <c r="O38" s="440">
        <v>6</v>
      </c>
      <c r="P38" s="440">
        <v>-6</v>
      </c>
      <c r="Q38" s="706"/>
      <c r="R38" s="9" t="s">
        <v>70</v>
      </c>
    </row>
    <row r="39" spans="1:1738" s="17" customFormat="1" x14ac:dyDescent="0.25">
      <c r="A39" s="140" t="s">
        <v>152</v>
      </c>
      <c r="B39" s="15" t="s">
        <v>21</v>
      </c>
      <c r="C39" s="118" t="s">
        <v>158</v>
      </c>
      <c r="D39" s="472">
        <v>8.5</v>
      </c>
      <c r="E39" s="302">
        <v>30</v>
      </c>
      <c r="F39" s="431">
        <v>0.1</v>
      </c>
      <c r="G39" s="243">
        <v>0.27500000000000002</v>
      </c>
      <c r="H39" s="23">
        <v>0.75</v>
      </c>
      <c r="I39" s="284">
        <v>5</v>
      </c>
      <c r="J39" s="280">
        <v>0.20833333333333334</v>
      </c>
      <c r="K39" s="280">
        <v>0.66666666666666663</v>
      </c>
      <c r="L39" s="245">
        <v>4</v>
      </c>
      <c r="M39" s="251">
        <v>0.23529411764705882</v>
      </c>
      <c r="N39" s="440">
        <v>2</v>
      </c>
      <c r="O39" s="440">
        <v>2</v>
      </c>
      <c r="P39" s="440">
        <v>0</v>
      </c>
      <c r="Q39" s="15"/>
      <c r="R39" s="140" t="s">
        <v>152</v>
      </c>
    </row>
    <row r="40" spans="1:1738" x14ac:dyDescent="0.25">
      <c r="A40" s="140" t="s">
        <v>321</v>
      </c>
      <c r="B40" s="15" t="s">
        <v>21</v>
      </c>
      <c r="C40" s="118" t="s">
        <v>109</v>
      </c>
      <c r="D40" s="472">
        <v>21.26</v>
      </c>
      <c r="E40" s="300">
        <v>80</v>
      </c>
      <c r="F40" s="431">
        <v>0.25</v>
      </c>
      <c r="G40" s="243">
        <v>0.46</v>
      </c>
      <c r="H40" s="14">
        <v>0.41399999999999998</v>
      </c>
      <c r="I40" s="283">
        <v>4.2</v>
      </c>
      <c r="J40" s="244">
        <v>0.25925925925925924</v>
      </c>
      <c r="K40" s="244">
        <v>0.70370370370370372</v>
      </c>
      <c r="L40" s="245">
        <v>7</v>
      </c>
      <c r="M40" s="252">
        <v>0.37629350893697083</v>
      </c>
      <c r="N40" s="440">
        <v>2</v>
      </c>
      <c r="O40" s="440">
        <v>2</v>
      </c>
      <c r="P40" s="440">
        <v>0</v>
      </c>
      <c r="Q40" s="39"/>
      <c r="R40" s="140" t="s">
        <v>321</v>
      </c>
    </row>
    <row r="41" spans="1:1738" x14ac:dyDescent="0.25">
      <c r="A41" s="140" t="s">
        <v>26</v>
      </c>
      <c r="B41" s="15" t="s">
        <v>21</v>
      </c>
      <c r="C41" s="118">
        <v>132</v>
      </c>
      <c r="D41" s="472">
        <v>9</v>
      </c>
      <c r="E41" s="300">
        <v>47</v>
      </c>
      <c r="F41" s="431">
        <v>2.1276595744680851E-2</v>
      </c>
      <c r="G41" s="243">
        <v>8.3000000000000004E-2</v>
      </c>
      <c r="H41" s="23">
        <v>0.90700000000000003</v>
      </c>
      <c r="I41" s="283">
        <v>5</v>
      </c>
      <c r="J41" s="280">
        <v>0.5</v>
      </c>
      <c r="K41" s="280">
        <v>0.5</v>
      </c>
      <c r="L41" s="246">
        <v>7</v>
      </c>
      <c r="M41" s="251">
        <v>0.22222222222222221</v>
      </c>
      <c r="N41" s="440">
        <v>2</v>
      </c>
      <c r="O41" s="440">
        <v>3</v>
      </c>
      <c r="P41" s="440">
        <v>-1</v>
      </c>
      <c r="Q41" s="39"/>
      <c r="R41" s="140" t="s">
        <v>26</v>
      </c>
    </row>
    <row r="42" spans="1:1738" x14ac:dyDescent="0.25">
      <c r="A42" s="142" t="s">
        <v>38</v>
      </c>
      <c r="B42" s="85" t="s">
        <v>39</v>
      </c>
      <c r="C42" s="221">
        <v>141</v>
      </c>
      <c r="D42" s="475">
        <v>61</v>
      </c>
      <c r="E42" s="300">
        <v>101</v>
      </c>
      <c r="F42" s="431">
        <v>7.9207920792079209E-2</v>
      </c>
      <c r="G42" s="243">
        <v>0.40500000000000003</v>
      </c>
      <c r="H42" s="14">
        <v>0.47449999999999998</v>
      </c>
      <c r="I42" s="283">
        <v>4</v>
      </c>
      <c r="J42" s="280">
        <v>0.25</v>
      </c>
      <c r="K42" s="280">
        <v>0.6875</v>
      </c>
      <c r="L42" s="246">
        <v>12</v>
      </c>
      <c r="M42" s="251">
        <v>0.18032786885245902</v>
      </c>
      <c r="N42" s="440">
        <v>2</v>
      </c>
      <c r="O42" s="440">
        <v>1</v>
      </c>
      <c r="P42" s="440">
        <v>1</v>
      </c>
      <c r="Q42" s="92"/>
      <c r="R42" s="441" t="s">
        <v>38</v>
      </c>
    </row>
    <row r="43" spans="1:1738" s="79" customFormat="1" x14ac:dyDescent="0.25">
      <c r="A43" s="140" t="s">
        <v>41</v>
      </c>
      <c r="B43" s="71" t="s">
        <v>40</v>
      </c>
      <c r="C43" s="118">
        <v>437</v>
      </c>
      <c r="D43" s="472">
        <v>24.3</v>
      </c>
      <c r="E43" s="299">
        <v>79</v>
      </c>
      <c r="F43" s="431">
        <v>0.11392405063291139</v>
      </c>
      <c r="G43" s="243">
        <v>0.41299999999999998</v>
      </c>
      <c r="H43" s="14">
        <v>0.67030000000000001</v>
      </c>
      <c r="I43" s="284">
        <v>5</v>
      </c>
      <c r="J43" s="280">
        <v>0.42465753424657532</v>
      </c>
      <c r="K43" s="280">
        <v>0.46575342465753422</v>
      </c>
      <c r="L43" s="246">
        <v>10</v>
      </c>
      <c r="M43" s="251">
        <v>0.32921810699588477</v>
      </c>
      <c r="N43" s="440">
        <v>0</v>
      </c>
      <c r="O43" s="440">
        <v>3</v>
      </c>
      <c r="P43" s="440">
        <v>-3</v>
      </c>
      <c r="Q43" s="12"/>
      <c r="R43" s="140" t="s">
        <v>41</v>
      </c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</row>
    <row r="44" spans="1:1738" s="122" customFormat="1" ht="71.25" customHeight="1" x14ac:dyDescent="0.25">
      <c r="A44" s="143" t="s">
        <v>327</v>
      </c>
      <c r="B44" s="71" t="s">
        <v>40</v>
      </c>
      <c r="C44" s="119" t="s">
        <v>348</v>
      </c>
      <c r="D44" s="472">
        <v>19</v>
      </c>
      <c r="E44" s="383">
        <v>87</v>
      </c>
      <c r="F44" s="432">
        <v>0.26436781609195403</v>
      </c>
      <c r="G44" s="286">
        <v>0.435</v>
      </c>
      <c r="H44" s="384">
        <v>0.61509999999999998</v>
      </c>
      <c r="I44" s="379">
        <v>5</v>
      </c>
      <c r="J44" s="380">
        <v>0.35714285714285715</v>
      </c>
      <c r="K44" s="380">
        <v>0.55714285714285716</v>
      </c>
      <c r="L44" s="385">
        <v>22</v>
      </c>
      <c r="M44" s="382">
        <v>0.57894736842105265</v>
      </c>
      <c r="N44" s="452">
        <v>4</v>
      </c>
      <c r="O44" s="452">
        <v>1</v>
      </c>
      <c r="P44" s="452">
        <v>3</v>
      </c>
      <c r="Q44" s="120"/>
      <c r="R44" s="143" t="s">
        <v>327</v>
      </c>
      <c r="S44" s="121"/>
      <c r="T44" s="121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</row>
    <row r="45" spans="1:1738" s="79" customFormat="1" x14ac:dyDescent="0.25">
      <c r="A45" s="140" t="s">
        <v>324</v>
      </c>
      <c r="B45" s="71" t="s">
        <v>40</v>
      </c>
      <c r="C45" s="118" t="s">
        <v>123</v>
      </c>
      <c r="D45" s="472">
        <v>21</v>
      </c>
      <c r="E45" s="300">
        <v>69</v>
      </c>
      <c r="F45" s="431">
        <v>0.20289855072463769</v>
      </c>
      <c r="G45" s="243">
        <v>0.29499999999999998</v>
      </c>
      <c r="H45" s="14">
        <v>0.57140000000000002</v>
      </c>
      <c r="I45" s="283">
        <v>5.0999999999999996</v>
      </c>
      <c r="J45" s="244">
        <v>0.22</v>
      </c>
      <c r="K45" s="244">
        <v>0.7</v>
      </c>
      <c r="L45" s="246">
        <v>16</v>
      </c>
      <c r="M45" s="252">
        <v>0.7142857142857143</v>
      </c>
      <c r="N45" s="440">
        <v>4</v>
      </c>
      <c r="O45" s="440">
        <v>0</v>
      </c>
      <c r="P45" s="440">
        <v>4</v>
      </c>
      <c r="Q45" s="12"/>
      <c r="R45" s="140" t="s">
        <v>324</v>
      </c>
      <c r="S45" s="90"/>
      <c r="T45" s="90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</row>
    <row r="46" spans="1:1738" s="90" customFormat="1" x14ac:dyDescent="0.25">
      <c r="A46" s="140" t="s">
        <v>164</v>
      </c>
      <c r="B46" s="15" t="s">
        <v>43</v>
      </c>
      <c r="C46" s="118" t="s">
        <v>111</v>
      </c>
      <c r="D46" s="473">
        <v>47.8</v>
      </c>
      <c r="E46" s="299">
        <v>197</v>
      </c>
      <c r="F46" s="431">
        <v>0.10152284263959391</v>
      </c>
      <c r="G46" s="243">
        <v>0.39200000000000002</v>
      </c>
      <c r="H46" s="23">
        <v>0.32500000000000001</v>
      </c>
      <c r="I46" s="283">
        <v>4</v>
      </c>
      <c r="J46" s="64">
        <v>0.35333333333333333</v>
      </c>
      <c r="K46" s="244">
        <v>0.61333333333333329</v>
      </c>
      <c r="L46" s="246">
        <v>33</v>
      </c>
      <c r="M46" s="251">
        <v>0.71129707112970719</v>
      </c>
      <c r="N46" s="440">
        <v>4</v>
      </c>
      <c r="O46" s="440">
        <v>1</v>
      </c>
      <c r="P46" s="440">
        <v>3</v>
      </c>
      <c r="Q46" s="39"/>
      <c r="R46" s="140" t="s">
        <v>164</v>
      </c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2"/>
      <c r="IP46" s="112"/>
      <c r="IQ46" s="112"/>
      <c r="IR46" s="112"/>
      <c r="IS46" s="112"/>
      <c r="IT46" s="112"/>
      <c r="IU46" s="112"/>
      <c r="IV46" s="112"/>
      <c r="IW46" s="112"/>
      <c r="IX46" s="112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2"/>
      <c r="SD46" s="112"/>
      <c r="SE46" s="112"/>
      <c r="SF46" s="112"/>
      <c r="SG46" s="112"/>
      <c r="SH46" s="112"/>
      <c r="SI46" s="112"/>
      <c r="SJ46" s="112"/>
      <c r="SK46" s="112"/>
      <c r="SL46" s="112"/>
      <c r="SM46" s="112"/>
      <c r="SN46" s="112"/>
      <c r="SO46" s="112"/>
      <c r="SP46" s="112"/>
      <c r="SQ46" s="112"/>
      <c r="SR46" s="112"/>
      <c r="SS46" s="112"/>
      <c r="ST46" s="112"/>
      <c r="SU46" s="112"/>
      <c r="SV46" s="112"/>
      <c r="SW46" s="112"/>
      <c r="SX46" s="112"/>
      <c r="SY46" s="112"/>
      <c r="SZ46" s="112"/>
      <c r="TA46" s="112"/>
      <c r="TB46" s="112"/>
      <c r="TC46" s="112"/>
      <c r="TD46" s="112"/>
      <c r="TE46" s="112"/>
      <c r="TF46" s="112"/>
      <c r="TG46" s="112"/>
      <c r="TH46" s="112"/>
      <c r="TI46" s="112"/>
      <c r="TJ46" s="112"/>
      <c r="TK46" s="112"/>
      <c r="TL46" s="112"/>
      <c r="TM46" s="112"/>
      <c r="TN46" s="112"/>
      <c r="TO46" s="112"/>
      <c r="TP46" s="112"/>
      <c r="TQ46" s="112"/>
      <c r="TR46" s="112"/>
      <c r="TS46" s="112"/>
      <c r="TT46" s="112"/>
      <c r="TU46" s="112"/>
      <c r="TV46" s="112"/>
      <c r="TW46" s="112"/>
      <c r="TX46" s="112"/>
      <c r="TY46" s="112"/>
      <c r="TZ46" s="112"/>
      <c r="UA46" s="112"/>
      <c r="UB46" s="112"/>
      <c r="UC46" s="112"/>
      <c r="UD46" s="112"/>
      <c r="UE46" s="112"/>
      <c r="UF46" s="112"/>
      <c r="UG46" s="112"/>
      <c r="UH46" s="112"/>
      <c r="UI46" s="112"/>
      <c r="UJ46" s="112"/>
      <c r="UK46" s="112"/>
      <c r="UL46" s="112"/>
      <c r="UM46" s="112"/>
      <c r="UN46" s="112"/>
      <c r="UO46" s="112"/>
      <c r="UP46" s="112"/>
      <c r="UQ46" s="112"/>
      <c r="UR46" s="112"/>
      <c r="US46" s="112"/>
      <c r="UT46" s="112"/>
      <c r="UU46" s="112"/>
      <c r="UV46" s="112"/>
      <c r="UW46" s="112"/>
      <c r="UX46" s="112"/>
      <c r="UY46" s="112"/>
      <c r="UZ46" s="112"/>
      <c r="VA46" s="112"/>
      <c r="VB46" s="112"/>
      <c r="VC46" s="112"/>
      <c r="VD46" s="112"/>
      <c r="VE46" s="112"/>
      <c r="VF46" s="112"/>
      <c r="VG46" s="112"/>
      <c r="VH46" s="112"/>
      <c r="VI46" s="112"/>
      <c r="VJ46" s="112"/>
      <c r="VK46" s="112"/>
      <c r="VL46" s="112"/>
      <c r="VM46" s="112"/>
      <c r="VN46" s="112"/>
      <c r="VO46" s="112"/>
      <c r="VP46" s="112"/>
      <c r="VQ46" s="112"/>
      <c r="VR46" s="112"/>
      <c r="VS46" s="112"/>
      <c r="VT46" s="112"/>
      <c r="VU46" s="112"/>
      <c r="VV46" s="112"/>
      <c r="VW46" s="112"/>
      <c r="VX46" s="112"/>
      <c r="VY46" s="112"/>
      <c r="VZ46" s="112"/>
      <c r="WA46" s="112"/>
      <c r="WB46" s="112"/>
      <c r="WC46" s="112"/>
      <c r="WD46" s="112"/>
      <c r="WE46" s="112"/>
      <c r="WF46" s="112"/>
      <c r="WG46" s="112"/>
      <c r="WH46" s="112"/>
      <c r="WI46" s="112"/>
      <c r="WJ46" s="112"/>
      <c r="WK46" s="112"/>
      <c r="WL46" s="112"/>
      <c r="WM46" s="112"/>
      <c r="WN46" s="112"/>
      <c r="WO46" s="112"/>
      <c r="WP46" s="112"/>
      <c r="WQ46" s="112"/>
      <c r="WR46" s="112"/>
      <c r="WS46" s="112"/>
      <c r="WT46" s="112"/>
      <c r="WU46" s="112"/>
      <c r="WV46" s="112"/>
      <c r="WW46" s="112"/>
      <c r="WX46" s="112"/>
      <c r="WY46" s="112"/>
      <c r="WZ46" s="112"/>
      <c r="XA46" s="112"/>
      <c r="XB46" s="112"/>
      <c r="XC46" s="112"/>
      <c r="XD46" s="112"/>
      <c r="XE46" s="112"/>
      <c r="XF46" s="112"/>
      <c r="XG46" s="112"/>
      <c r="XH46" s="112"/>
      <c r="XI46" s="112"/>
      <c r="XJ46" s="112"/>
      <c r="XK46" s="112"/>
      <c r="XL46" s="112"/>
      <c r="XM46" s="112"/>
      <c r="XN46" s="112"/>
      <c r="XO46" s="112"/>
      <c r="XP46" s="112"/>
      <c r="XQ46" s="112"/>
      <c r="XR46" s="112"/>
      <c r="XS46" s="112"/>
      <c r="XT46" s="112"/>
      <c r="XU46" s="112"/>
      <c r="XV46" s="112"/>
      <c r="XW46" s="112"/>
      <c r="XX46" s="112"/>
      <c r="XY46" s="112"/>
      <c r="XZ46" s="112"/>
      <c r="YA46" s="112"/>
      <c r="YB46" s="112"/>
      <c r="YC46" s="112"/>
      <c r="YD46" s="112"/>
      <c r="YE46" s="112"/>
      <c r="YF46" s="112"/>
      <c r="YG46" s="112"/>
      <c r="YH46" s="112"/>
      <c r="YI46" s="112"/>
      <c r="YJ46" s="112"/>
      <c r="YK46" s="112"/>
      <c r="YL46" s="112"/>
      <c r="YM46" s="112"/>
      <c r="YN46" s="112"/>
      <c r="YO46" s="112"/>
      <c r="YP46" s="112"/>
      <c r="YQ46" s="112"/>
      <c r="YR46" s="112"/>
      <c r="YS46" s="112"/>
      <c r="YT46" s="112"/>
      <c r="YU46" s="112"/>
      <c r="YV46" s="112"/>
      <c r="YW46" s="112"/>
      <c r="YX46" s="112"/>
      <c r="YY46" s="112"/>
      <c r="YZ46" s="112"/>
      <c r="ZA46" s="112"/>
      <c r="ZB46" s="112"/>
      <c r="ZC46" s="112"/>
      <c r="ZD46" s="112"/>
      <c r="ZE46" s="112"/>
      <c r="ZF46" s="112"/>
      <c r="ZG46" s="112"/>
      <c r="ZH46" s="112"/>
      <c r="ZI46" s="112"/>
      <c r="ZJ46" s="112"/>
      <c r="ZK46" s="112"/>
      <c r="ZL46" s="112"/>
      <c r="ZM46" s="112"/>
      <c r="ZN46" s="112"/>
      <c r="ZO46" s="112"/>
      <c r="ZP46" s="112"/>
      <c r="ZQ46" s="112"/>
      <c r="ZR46" s="112"/>
      <c r="ZS46" s="112"/>
      <c r="ZT46" s="112"/>
      <c r="ZU46" s="112"/>
      <c r="ZV46" s="112"/>
      <c r="ZW46" s="112"/>
      <c r="ZX46" s="112"/>
      <c r="ZY46" s="112"/>
      <c r="ZZ46" s="112"/>
      <c r="AAA46" s="112"/>
      <c r="AAB46" s="112"/>
      <c r="AAC46" s="112"/>
      <c r="AAD46" s="112"/>
      <c r="AAE46" s="112"/>
      <c r="AAF46" s="112"/>
      <c r="AAG46" s="112"/>
      <c r="AAH46" s="112"/>
      <c r="AAI46" s="112"/>
      <c r="AAJ46" s="112"/>
      <c r="AAK46" s="112"/>
      <c r="AAL46" s="112"/>
      <c r="AAM46" s="112"/>
      <c r="AAN46" s="112"/>
      <c r="AAO46" s="112"/>
      <c r="AAP46" s="112"/>
      <c r="AAQ46" s="112"/>
      <c r="AAR46" s="112"/>
      <c r="AAS46" s="112"/>
      <c r="AAT46" s="112"/>
      <c r="AAU46" s="112"/>
      <c r="AAV46" s="112"/>
      <c r="AAW46" s="112"/>
      <c r="AAX46" s="112"/>
      <c r="AAY46" s="112"/>
      <c r="AAZ46" s="112"/>
      <c r="ABA46" s="112"/>
      <c r="ABB46" s="112"/>
      <c r="ABC46" s="112"/>
      <c r="ABD46" s="112"/>
      <c r="ABE46" s="112"/>
      <c r="ABF46" s="112"/>
      <c r="ABG46" s="112"/>
      <c r="ABH46" s="112"/>
      <c r="ABI46" s="112"/>
      <c r="ABJ46" s="112"/>
      <c r="ABK46" s="112"/>
      <c r="ABL46" s="112"/>
      <c r="ABM46" s="112"/>
      <c r="ABN46" s="112"/>
      <c r="ABO46" s="112"/>
      <c r="ABP46" s="112"/>
      <c r="ABQ46" s="112"/>
      <c r="ABR46" s="112"/>
      <c r="ABS46" s="112"/>
      <c r="ABT46" s="112"/>
      <c r="ABU46" s="112"/>
      <c r="ABV46" s="112"/>
      <c r="ABW46" s="112"/>
      <c r="ABX46" s="112"/>
      <c r="ABY46" s="112"/>
      <c r="ABZ46" s="112"/>
      <c r="ACA46" s="112"/>
      <c r="ACB46" s="112"/>
      <c r="ACC46" s="112"/>
      <c r="ACD46" s="112"/>
      <c r="ACE46" s="112"/>
      <c r="ACF46" s="112"/>
      <c r="ACG46" s="112"/>
      <c r="ACH46" s="112"/>
      <c r="ACI46" s="112"/>
      <c r="ACJ46" s="112"/>
      <c r="ACK46" s="112"/>
      <c r="ACL46" s="112"/>
      <c r="ACM46" s="112"/>
      <c r="ACN46" s="112"/>
      <c r="ACO46" s="112"/>
      <c r="ACP46" s="112"/>
      <c r="ACQ46" s="112"/>
      <c r="ACR46" s="112"/>
      <c r="ACS46" s="112"/>
      <c r="ACT46" s="112"/>
      <c r="ACU46" s="112"/>
      <c r="ACV46" s="112"/>
      <c r="ACW46" s="112"/>
      <c r="ACX46" s="112"/>
      <c r="ACY46" s="112"/>
      <c r="ACZ46" s="112"/>
      <c r="ADA46" s="112"/>
      <c r="ADB46" s="112"/>
      <c r="ADC46" s="112"/>
      <c r="ADD46" s="112"/>
      <c r="ADE46" s="112"/>
      <c r="ADF46" s="112"/>
      <c r="ADG46" s="112"/>
      <c r="ADH46" s="112"/>
      <c r="ADI46" s="112"/>
      <c r="ADJ46" s="112"/>
      <c r="ADK46" s="112"/>
      <c r="ADL46" s="112"/>
      <c r="ADM46" s="112"/>
      <c r="ADN46" s="112"/>
      <c r="ADO46" s="112"/>
      <c r="ADP46" s="112"/>
      <c r="ADQ46" s="112"/>
      <c r="ADR46" s="112"/>
      <c r="ADS46" s="112"/>
      <c r="ADT46" s="112"/>
      <c r="ADU46" s="112"/>
      <c r="ADV46" s="112"/>
      <c r="ADW46" s="112"/>
      <c r="ADX46" s="112"/>
      <c r="ADY46" s="112"/>
      <c r="ADZ46" s="112"/>
      <c r="AEA46" s="112"/>
      <c r="AEB46" s="112"/>
      <c r="AEC46" s="112"/>
      <c r="AED46" s="112"/>
      <c r="AEE46" s="112"/>
      <c r="AEF46" s="112"/>
      <c r="AEG46" s="112"/>
      <c r="AEH46" s="112"/>
      <c r="AEI46" s="112"/>
      <c r="AEJ46" s="112"/>
      <c r="AEK46" s="112"/>
      <c r="AEL46" s="112"/>
      <c r="AEM46" s="112"/>
      <c r="AEN46" s="112"/>
      <c r="AEO46" s="112"/>
      <c r="AEP46" s="112"/>
      <c r="AEQ46" s="112"/>
      <c r="AER46" s="112"/>
      <c r="AES46" s="112"/>
      <c r="AET46" s="112"/>
      <c r="AEU46" s="112"/>
      <c r="AEV46" s="112"/>
      <c r="AEW46" s="112"/>
      <c r="AEX46" s="112"/>
      <c r="AEY46" s="112"/>
      <c r="AEZ46" s="112"/>
      <c r="AFA46" s="112"/>
      <c r="AFB46" s="112"/>
      <c r="AFC46" s="112"/>
      <c r="AFD46" s="112"/>
      <c r="AFE46" s="112"/>
      <c r="AFF46" s="112"/>
      <c r="AFG46" s="112"/>
      <c r="AFH46" s="112"/>
      <c r="AFI46" s="112"/>
      <c r="AFJ46" s="112"/>
      <c r="AFK46" s="112"/>
      <c r="AFL46" s="112"/>
      <c r="AFM46" s="112"/>
      <c r="AFN46" s="112"/>
      <c r="AFO46" s="112"/>
      <c r="AFP46" s="112"/>
      <c r="AFQ46" s="112"/>
      <c r="AFR46" s="112"/>
      <c r="AFS46" s="112"/>
      <c r="AFT46" s="112"/>
      <c r="AFU46" s="112"/>
      <c r="AFV46" s="112"/>
      <c r="AFW46" s="112"/>
      <c r="AFX46" s="112"/>
      <c r="AFY46" s="112"/>
      <c r="AFZ46" s="112"/>
      <c r="AGA46" s="112"/>
      <c r="AGB46" s="112"/>
      <c r="AGC46" s="112"/>
      <c r="AGD46" s="112"/>
      <c r="AGE46" s="112"/>
      <c r="AGF46" s="112"/>
      <c r="AGG46" s="112"/>
      <c r="AGH46" s="112"/>
      <c r="AGI46" s="112"/>
      <c r="AGJ46" s="112"/>
      <c r="AGK46" s="112"/>
      <c r="AGL46" s="112"/>
      <c r="AGM46" s="112"/>
      <c r="AGN46" s="112"/>
      <c r="AGO46" s="112"/>
      <c r="AGP46" s="112"/>
      <c r="AGQ46" s="112"/>
      <c r="AGR46" s="112"/>
      <c r="AGS46" s="112"/>
      <c r="AGT46" s="112"/>
      <c r="AGU46" s="112"/>
      <c r="AGV46" s="112"/>
      <c r="AGW46" s="112"/>
      <c r="AGX46" s="112"/>
      <c r="AGY46" s="112"/>
      <c r="AGZ46" s="112"/>
      <c r="AHA46" s="112"/>
      <c r="AHB46" s="112"/>
      <c r="AHC46" s="112"/>
      <c r="AHD46" s="112"/>
      <c r="AHE46" s="112"/>
      <c r="AHF46" s="112"/>
      <c r="AHG46" s="112"/>
      <c r="AHH46" s="112"/>
      <c r="AHI46" s="112"/>
      <c r="AHJ46" s="112"/>
      <c r="AHK46" s="112"/>
      <c r="AHL46" s="112"/>
      <c r="AHM46" s="112"/>
      <c r="AHN46" s="112"/>
      <c r="AHO46" s="112"/>
      <c r="AHP46" s="112"/>
      <c r="AHQ46" s="112"/>
      <c r="AHR46" s="112"/>
      <c r="AHS46" s="112"/>
      <c r="AHT46" s="112"/>
      <c r="AHU46" s="112"/>
      <c r="AHV46" s="112"/>
      <c r="AHW46" s="112"/>
      <c r="AHX46" s="112"/>
      <c r="AHY46" s="112"/>
      <c r="AHZ46" s="112"/>
      <c r="AIA46" s="112"/>
      <c r="AIB46" s="112"/>
      <c r="AIC46" s="112"/>
      <c r="AID46" s="112"/>
      <c r="AIE46" s="112"/>
      <c r="AIF46" s="112"/>
      <c r="AIG46" s="112"/>
      <c r="AIH46" s="112"/>
      <c r="AII46" s="112"/>
      <c r="AIJ46" s="112"/>
      <c r="AIK46" s="112"/>
      <c r="AIL46" s="112"/>
      <c r="AIM46" s="112"/>
      <c r="AIN46" s="112"/>
      <c r="AIO46" s="112"/>
      <c r="AIP46" s="112"/>
      <c r="AIQ46" s="112"/>
      <c r="AIR46" s="112"/>
      <c r="AIS46" s="112"/>
      <c r="AIT46" s="112"/>
      <c r="AIU46" s="112"/>
      <c r="AIV46" s="112"/>
      <c r="AIW46" s="112"/>
      <c r="AIX46" s="112"/>
      <c r="AIY46" s="112"/>
      <c r="AIZ46" s="112"/>
      <c r="AJA46" s="112"/>
      <c r="AJB46" s="112"/>
      <c r="AJC46" s="112"/>
      <c r="AJD46" s="112"/>
      <c r="AJE46" s="112"/>
      <c r="AJF46" s="112"/>
      <c r="AJG46" s="112"/>
      <c r="AJH46" s="112"/>
      <c r="AJI46" s="112"/>
      <c r="AJJ46" s="112"/>
      <c r="AJK46" s="112"/>
      <c r="AJL46" s="112"/>
      <c r="AJM46" s="112"/>
      <c r="AJN46" s="112"/>
      <c r="AJO46" s="112"/>
      <c r="AJP46" s="112"/>
      <c r="AJQ46" s="112"/>
      <c r="AJR46" s="112"/>
      <c r="AJS46" s="112"/>
      <c r="AJT46" s="112"/>
      <c r="AJU46" s="112"/>
      <c r="AJV46" s="112"/>
      <c r="AJW46" s="112"/>
      <c r="AJX46" s="112"/>
      <c r="AJY46" s="112"/>
      <c r="AJZ46" s="112"/>
      <c r="AKA46" s="112"/>
      <c r="AKB46" s="112"/>
      <c r="AKC46" s="112"/>
      <c r="AKD46" s="112"/>
      <c r="AKE46" s="112"/>
      <c r="AKF46" s="112"/>
      <c r="AKG46" s="112"/>
      <c r="AKH46" s="112"/>
      <c r="AKI46" s="112"/>
      <c r="AKJ46" s="112"/>
      <c r="AKK46" s="112"/>
      <c r="AKL46" s="112"/>
      <c r="AKM46" s="112"/>
      <c r="AKN46" s="112"/>
      <c r="AKO46" s="112"/>
      <c r="AKP46" s="112"/>
      <c r="AKQ46" s="112"/>
      <c r="AKR46" s="112"/>
      <c r="AKS46" s="112"/>
      <c r="AKT46" s="112"/>
      <c r="AKU46" s="112"/>
      <c r="AKV46" s="112"/>
      <c r="AKW46" s="112"/>
      <c r="AKX46" s="112"/>
      <c r="AKY46" s="112"/>
      <c r="AKZ46" s="112"/>
      <c r="ALA46" s="112"/>
      <c r="ALB46" s="112"/>
      <c r="ALC46" s="112"/>
      <c r="ALD46" s="112"/>
      <c r="ALE46" s="112"/>
      <c r="ALF46" s="112"/>
      <c r="ALG46" s="112"/>
      <c r="ALH46" s="112"/>
      <c r="ALI46" s="112"/>
      <c r="ALJ46" s="112"/>
      <c r="ALK46" s="112"/>
      <c r="ALL46" s="112"/>
      <c r="ALM46" s="112"/>
      <c r="ALN46" s="112"/>
      <c r="ALO46" s="112"/>
      <c r="ALP46" s="112"/>
      <c r="ALQ46" s="112"/>
      <c r="ALR46" s="112"/>
      <c r="ALS46" s="112"/>
      <c r="ALT46" s="112"/>
      <c r="ALU46" s="112"/>
      <c r="ALV46" s="112"/>
      <c r="ALW46" s="112"/>
      <c r="ALX46" s="112"/>
      <c r="ALY46" s="112"/>
      <c r="ALZ46" s="112"/>
      <c r="AMA46" s="112"/>
      <c r="AMB46" s="112"/>
      <c r="AMC46" s="112"/>
      <c r="AMD46" s="112"/>
      <c r="AME46" s="112"/>
      <c r="AMF46" s="112"/>
      <c r="AMG46" s="112"/>
      <c r="AMH46" s="112"/>
      <c r="AMI46" s="112"/>
      <c r="AMJ46" s="112"/>
      <c r="AMK46" s="112"/>
      <c r="AML46" s="112"/>
      <c r="AMM46" s="112"/>
      <c r="AMN46" s="112"/>
      <c r="AMO46" s="112"/>
      <c r="AMP46" s="112"/>
      <c r="AMQ46" s="112"/>
      <c r="AMR46" s="112"/>
      <c r="AMS46" s="112"/>
      <c r="AMT46" s="112"/>
      <c r="AMU46" s="112"/>
      <c r="AMV46" s="112"/>
      <c r="AMW46" s="112"/>
      <c r="AMX46" s="112"/>
      <c r="AMY46" s="112"/>
      <c r="AMZ46" s="112"/>
      <c r="ANA46" s="112"/>
      <c r="ANB46" s="112"/>
      <c r="ANC46" s="112"/>
      <c r="AND46" s="112"/>
      <c r="ANE46" s="112"/>
      <c r="ANF46" s="112"/>
      <c r="ANG46" s="112"/>
      <c r="ANH46" s="112"/>
      <c r="ANI46" s="112"/>
      <c r="ANJ46" s="112"/>
      <c r="ANK46" s="112"/>
      <c r="ANL46" s="112"/>
      <c r="ANM46" s="112"/>
      <c r="ANN46" s="112"/>
      <c r="ANO46" s="112"/>
      <c r="ANP46" s="112"/>
      <c r="ANQ46" s="112"/>
      <c r="ANR46" s="112"/>
      <c r="ANS46" s="112"/>
      <c r="ANT46" s="112"/>
      <c r="ANU46" s="112"/>
      <c r="ANV46" s="112"/>
      <c r="ANW46" s="112"/>
      <c r="ANX46" s="112"/>
      <c r="ANY46" s="112"/>
      <c r="ANZ46" s="112"/>
      <c r="AOA46" s="112"/>
      <c r="AOB46" s="112"/>
      <c r="AOC46" s="112"/>
      <c r="AOD46" s="112"/>
      <c r="AOE46" s="112"/>
      <c r="AOF46" s="112"/>
      <c r="AOG46" s="112"/>
      <c r="AOH46" s="112"/>
      <c r="AOI46" s="112"/>
      <c r="AOJ46" s="112"/>
      <c r="AOK46" s="112"/>
      <c r="AOL46" s="112"/>
      <c r="AOM46" s="112"/>
      <c r="AON46" s="112"/>
      <c r="AOO46" s="112"/>
      <c r="AOP46" s="112"/>
      <c r="AOQ46" s="112"/>
      <c r="AOR46" s="112"/>
      <c r="AOS46" s="112"/>
      <c r="AOT46" s="112"/>
      <c r="AOU46" s="112"/>
      <c r="AOV46" s="112"/>
      <c r="AOW46" s="112"/>
      <c r="AOX46" s="112"/>
      <c r="AOY46" s="112"/>
      <c r="AOZ46" s="112"/>
      <c r="APA46" s="112"/>
      <c r="APB46" s="112"/>
      <c r="APC46" s="112"/>
      <c r="APD46" s="112"/>
      <c r="APE46" s="112"/>
      <c r="APF46" s="112"/>
      <c r="APG46" s="112"/>
      <c r="APH46" s="112"/>
      <c r="API46" s="112"/>
      <c r="APJ46" s="112"/>
      <c r="APK46" s="112"/>
      <c r="APL46" s="112"/>
      <c r="APM46" s="112"/>
      <c r="APN46" s="112"/>
      <c r="APO46" s="112"/>
      <c r="APP46" s="112"/>
      <c r="APQ46" s="112"/>
      <c r="APR46" s="112"/>
      <c r="APS46" s="112"/>
      <c r="APT46" s="112"/>
      <c r="APU46" s="112"/>
      <c r="APV46" s="112"/>
      <c r="APW46" s="112"/>
      <c r="APX46" s="112"/>
      <c r="APY46" s="112"/>
      <c r="APZ46" s="112"/>
      <c r="AQA46" s="112"/>
      <c r="AQB46" s="112"/>
      <c r="AQC46" s="112"/>
      <c r="AQD46" s="112"/>
      <c r="AQE46" s="112"/>
      <c r="AQF46" s="112"/>
      <c r="AQG46" s="112"/>
      <c r="AQH46" s="112"/>
      <c r="AQI46" s="112"/>
      <c r="AQJ46" s="112"/>
      <c r="AQK46" s="112"/>
      <c r="AQL46" s="112"/>
      <c r="AQM46" s="112"/>
      <c r="AQN46" s="112"/>
      <c r="AQO46" s="112"/>
      <c r="AQP46" s="112"/>
      <c r="AQQ46" s="112"/>
      <c r="AQR46" s="112"/>
      <c r="AQS46" s="112"/>
      <c r="AQT46" s="112"/>
      <c r="AQU46" s="112"/>
      <c r="AQV46" s="112"/>
      <c r="AQW46" s="112"/>
      <c r="AQX46" s="112"/>
      <c r="AQY46" s="112"/>
      <c r="AQZ46" s="112"/>
      <c r="ARA46" s="112"/>
      <c r="ARB46" s="112"/>
      <c r="ARC46" s="112"/>
      <c r="ARD46" s="112"/>
      <c r="ARE46" s="112"/>
      <c r="ARF46" s="112"/>
      <c r="ARG46" s="112"/>
      <c r="ARH46" s="112"/>
      <c r="ARI46" s="112"/>
      <c r="ARJ46" s="112"/>
      <c r="ARK46" s="112"/>
      <c r="ARL46" s="112"/>
      <c r="ARM46" s="112"/>
      <c r="ARN46" s="112"/>
      <c r="ARO46" s="112"/>
      <c r="ARP46" s="112"/>
      <c r="ARQ46" s="112"/>
      <c r="ARR46" s="112"/>
      <c r="ARS46" s="112"/>
      <c r="ART46" s="112"/>
      <c r="ARU46" s="112"/>
      <c r="ARV46" s="112"/>
      <c r="ARW46" s="112"/>
      <c r="ARX46" s="112"/>
      <c r="ARY46" s="112"/>
      <c r="ARZ46" s="112"/>
      <c r="ASA46" s="112"/>
      <c r="ASB46" s="112"/>
      <c r="ASC46" s="112"/>
      <c r="ASD46" s="112"/>
      <c r="ASE46" s="112"/>
      <c r="ASF46" s="112"/>
      <c r="ASG46" s="112"/>
      <c r="ASH46" s="112"/>
      <c r="ASI46" s="112"/>
      <c r="ASJ46" s="112"/>
      <c r="ASK46" s="112"/>
      <c r="ASL46" s="112"/>
      <c r="ASM46" s="112"/>
      <c r="ASN46" s="112"/>
      <c r="ASO46" s="112"/>
      <c r="ASP46" s="112"/>
      <c r="ASQ46" s="112"/>
      <c r="ASR46" s="112"/>
      <c r="ASS46" s="112"/>
      <c r="AST46" s="112"/>
      <c r="ASU46" s="112"/>
      <c r="ASV46" s="112"/>
      <c r="ASW46" s="112"/>
      <c r="ASX46" s="112"/>
      <c r="ASY46" s="112"/>
      <c r="ASZ46" s="112"/>
      <c r="ATA46" s="112"/>
      <c r="ATB46" s="112"/>
      <c r="ATC46" s="112"/>
      <c r="ATD46" s="112"/>
      <c r="ATE46" s="112"/>
      <c r="ATF46" s="112"/>
      <c r="ATG46" s="112"/>
      <c r="ATH46" s="112"/>
      <c r="ATI46" s="112"/>
      <c r="ATJ46" s="112"/>
      <c r="ATK46" s="112"/>
      <c r="ATL46" s="112"/>
      <c r="ATM46" s="112"/>
      <c r="ATN46" s="112"/>
      <c r="ATO46" s="112"/>
      <c r="ATP46" s="112"/>
      <c r="ATQ46" s="112"/>
      <c r="ATR46" s="112"/>
      <c r="ATS46" s="112"/>
      <c r="ATT46" s="112"/>
      <c r="ATU46" s="112"/>
      <c r="ATV46" s="112"/>
      <c r="ATW46" s="112"/>
      <c r="ATX46" s="112"/>
      <c r="ATY46" s="112"/>
      <c r="ATZ46" s="112"/>
      <c r="AUA46" s="112"/>
      <c r="AUB46" s="112"/>
      <c r="AUC46" s="112"/>
      <c r="AUD46" s="112"/>
      <c r="AUE46" s="112"/>
      <c r="AUF46" s="112"/>
      <c r="AUG46" s="112"/>
      <c r="AUH46" s="112"/>
      <c r="AUI46" s="112"/>
      <c r="AUJ46" s="112"/>
      <c r="AUK46" s="112"/>
      <c r="AUL46" s="112"/>
      <c r="AUM46" s="112"/>
      <c r="AUN46" s="112"/>
      <c r="AUO46" s="112"/>
      <c r="AUP46" s="112"/>
      <c r="AUQ46" s="112"/>
      <c r="AUR46" s="112"/>
      <c r="AUS46" s="112"/>
      <c r="AUT46" s="112"/>
      <c r="AUU46" s="112"/>
      <c r="AUV46" s="112"/>
      <c r="AUW46" s="112"/>
      <c r="AUX46" s="112"/>
      <c r="AUY46" s="112"/>
      <c r="AUZ46" s="112"/>
      <c r="AVA46" s="112"/>
      <c r="AVB46" s="112"/>
      <c r="AVC46" s="112"/>
      <c r="AVD46" s="112"/>
      <c r="AVE46" s="112"/>
      <c r="AVF46" s="112"/>
      <c r="AVG46" s="112"/>
      <c r="AVH46" s="112"/>
      <c r="AVI46" s="112"/>
      <c r="AVJ46" s="112"/>
      <c r="AVK46" s="112"/>
      <c r="AVL46" s="112"/>
      <c r="AVM46" s="112"/>
      <c r="AVN46" s="112"/>
      <c r="AVO46" s="112"/>
      <c r="AVP46" s="112"/>
      <c r="AVQ46" s="112"/>
      <c r="AVR46" s="112"/>
      <c r="AVS46" s="112"/>
      <c r="AVT46" s="112"/>
      <c r="AVU46" s="112"/>
      <c r="AVV46" s="112"/>
      <c r="AVW46" s="112"/>
      <c r="AVX46" s="112"/>
      <c r="AVY46" s="112"/>
      <c r="AVZ46" s="112"/>
      <c r="AWA46" s="112"/>
      <c r="AWB46" s="112"/>
      <c r="AWC46" s="112"/>
      <c r="AWD46" s="112"/>
      <c r="AWE46" s="112"/>
      <c r="AWF46" s="112"/>
      <c r="AWG46" s="112"/>
      <c r="AWH46" s="112"/>
      <c r="AWI46" s="112"/>
      <c r="AWJ46" s="112"/>
      <c r="AWK46" s="112"/>
      <c r="AWL46" s="112"/>
      <c r="AWM46" s="112"/>
      <c r="AWN46" s="112"/>
      <c r="AWO46" s="112"/>
      <c r="AWP46" s="112"/>
      <c r="AWQ46" s="112"/>
      <c r="AWR46" s="112"/>
      <c r="AWS46" s="112"/>
      <c r="AWT46" s="112"/>
      <c r="AWU46" s="112"/>
      <c r="AWV46" s="112"/>
      <c r="AWW46" s="112"/>
      <c r="AWX46" s="112"/>
      <c r="AWY46" s="112"/>
      <c r="AWZ46" s="112"/>
      <c r="AXA46" s="112"/>
      <c r="AXB46" s="112"/>
      <c r="AXC46" s="112"/>
      <c r="AXD46" s="112"/>
      <c r="AXE46" s="112"/>
      <c r="AXF46" s="112"/>
      <c r="AXG46" s="112"/>
      <c r="AXH46" s="112"/>
      <c r="AXI46" s="112"/>
      <c r="AXJ46" s="112"/>
      <c r="AXK46" s="112"/>
      <c r="AXL46" s="112"/>
      <c r="AXM46" s="112"/>
      <c r="AXN46" s="112"/>
      <c r="AXO46" s="112"/>
      <c r="AXP46" s="112"/>
      <c r="AXQ46" s="112"/>
      <c r="AXR46" s="112"/>
      <c r="AXS46" s="112"/>
      <c r="AXT46" s="112"/>
      <c r="AXU46" s="112"/>
      <c r="AXV46" s="112"/>
      <c r="AXW46" s="112"/>
      <c r="AXX46" s="112"/>
      <c r="AXY46" s="112"/>
      <c r="AXZ46" s="112"/>
      <c r="AYA46" s="112"/>
      <c r="AYB46" s="112"/>
      <c r="AYC46" s="112"/>
      <c r="AYD46" s="112"/>
      <c r="AYE46" s="112"/>
      <c r="AYF46" s="112"/>
      <c r="AYG46" s="112"/>
      <c r="AYH46" s="112"/>
      <c r="AYI46" s="112"/>
      <c r="AYJ46" s="112"/>
      <c r="AYK46" s="112"/>
      <c r="AYL46" s="112"/>
      <c r="AYM46" s="112"/>
      <c r="AYN46" s="112"/>
      <c r="AYO46" s="112"/>
      <c r="AYP46" s="112"/>
      <c r="AYQ46" s="112"/>
      <c r="AYR46" s="112"/>
      <c r="AYS46" s="112"/>
      <c r="AYT46" s="112"/>
      <c r="AYU46" s="112"/>
      <c r="AYV46" s="112"/>
      <c r="AYW46" s="112"/>
      <c r="AYX46" s="112"/>
      <c r="AYY46" s="112"/>
      <c r="AYZ46" s="112"/>
      <c r="AZA46" s="112"/>
      <c r="AZB46" s="112"/>
      <c r="AZC46" s="112"/>
      <c r="AZD46" s="112"/>
      <c r="AZE46" s="112"/>
      <c r="AZF46" s="112"/>
      <c r="AZG46" s="112"/>
      <c r="AZH46" s="112"/>
      <c r="AZI46" s="112"/>
      <c r="AZJ46" s="112"/>
      <c r="AZK46" s="112"/>
      <c r="AZL46" s="112"/>
      <c r="AZM46" s="112"/>
      <c r="AZN46" s="112"/>
      <c r="AZO46" s="112"/>
      <c r="AZP46" s="112"/>
      <c r="AZQ46" s="112"/>
      <c r="AZR46" s="112"/>
      <c r="AZS46" s="112"/>
      <c r="AZT46" s="112"/>
      <c r="AZU46" s="112"/>
      <c r="AZV46" s="112"/>
      <c r="AZW46" s="112"/>
      <c r="AZX46" s="112"/>
      <c r="AZY46" s="112"/>
      <c r="AZZ46" s="112"/>
      <c r="BAA46" s="112"/>
      <c r="BAB46" s="112"/>
      <c r="BAC46" s="112"/>
      <c r="BAD46" s="112"/>
      <c r="BAE46" s="112"/>
      <c r="BAF46" s="112"/>
      <c r="BAG46" s="112"/>
      <c r="BAH46" s="112"/>
      <c r="BAI46" s="112"/>
      <c r="BAJ46" s="112"/>
      <c r="BAK46" s="112"/>
      <c r="BAL46" s="112"/>
      <c r="BAM46" s="112"/>
      <c r="BAN46" s="112"/>
      <c r="BAO46" s="112"/>
      <c r="BAP46" s="112"/>
      <c r="BAQ46" s="112"/>
      <c r="BAR46" s="112"/>
      <c r="BAS46" s="112"/>
      <c r="BAT46" s="112"/>
      <c r="BAU46" s="112"/>
      <c r="BAV46" s="112"/>
      <c r="BAW46" s="112"/>
      <c r="BAX46" s="112"/>
      <c r="BAY46" s="112"/>
      <c r="BAZ46" s="112"/>
      <c r="BBA46" s="112"/>
      <c r="BBB46" s="112"/>
      <c r="BBC46" s="112"/>
      <c r="BBD46" s="112"/>
      <c r="BBE46" s="112"/>
      <c r="BBF46" s="112"/>
      <c r="BBG46" s="112"/>
      <c r="BBH46" s="112"/>
      <c r="BBI46" s="112"/>
      <c r="BBJ46" s="112"/>
      <c r="BBK46" s="112"/>
      <c r="BBL46" s="112"/>
      <c r="BBM46" s="112"/>
      <c r="BBN46" s="112"/>
      <c r="BBO46" s="112"/>
      <c r="BBP46" s="112"/>
      <c r="BBQ46" s="112"/>
      <c r="BBR46" s="112"/>
      <c r="BBS46" s="112"/>
      <c r="BBT46" s="112"/>
      <c r="BBU46" s="112"/>
      <c r="BBV46" s="112"/>
      <c r="BBW46" s="112"/>
      <c r="BBX46" s="112"/>
      <c r="BBY46" s="112"/>
      <c r="BBZ46" s="112"/>
      <c r="BCA46" s="112"/>
      <c r="BCB46" s="112"/>
      <c r="BCC46" s="112"/>
      <c r="BCD46" s="112"/>
      <c r="BCE46" s="112"/>
      <c r="BCF46" s="112"/>
      <c r="BCG46" s="112"/>
      <c r="BCH46" s="112"/>
      <c r="BCI46" s="112"/>
      <c r="BCJ46" s="112"/>
      <c r="BCK46" s="112"/>
      <c r="BCL46" s="112"/>
      <c r="BCM46" s="112"/>
      <c r="BCN46" s="112"/>
      <c r="BCO46" s="112"/>
      <c r="BCP46" s="112"/>
      <c r="BCQ46" s="112"/>
      <c r="BCR46" s="112"/>
      <c r="BCS46" s="112"/>
      <c r="BCT46" s="112"/>
      <c r="BCU46" s="112"/>
      <c r="BCV46" s="112"/>
      <c r="BCW46" s="112"/>
      <c r="BCX46" s="112"/>
      <c r="BCY46" s="112"/>
      <c r="BCZ46" s="112"/>
      <c r="BDA46" s="112"/>
      <c r="BDB46" s="112"/>
      <c r="BDC46" s="112"/>
      <c r="BDD46" s="112"/>
      <c r="BDE46" s="112"/>
      <c r="BDF46" s="112"/>
      <c r="BDG46" s="112"/>
      <c r="BDH46" s="112"/>
      <c r="BDI46" s="112"/>
      <c r="BDJ46" s="112"/>
      <c r="BDK46" s="112"/>
      <c r="BDL46" s="112"/>
      <c r="BDM46" s="112"/>
      <c r="BDN46" s="112"/>
      <c r="BDO46" s="112"/>
      <c r="BDP46" s="112"/>
      <c r="BDQ46" s="112"/>
      <c r="BDR46" s="112"/>
      <c r="BDS46" s="112"/>
      <c r="BDT46" s="112"/>
      <c r="BDU46" s="112"/>
      <c r="BDV46" s="112"/>
      <c r="BDW46" s="112"/>
      <c r="BDX46" s="112"/>
      <c r="BDY46" s="112"/>
      <c r="BDZ46" s="112"/>
      <c r="BEA46" s="112"/>
      <c r="BEB46" s="112"/>
      <c r="BEC46" s="112"/>
      <c r="BED46" s="112"/>
      <c r="BEE46" s="112"/>
      <c r="BEF46" s="112"/>
      <c r="BEG46" s="112"/>
      <c r="BEH46" s="112"/>
      <c r="BEI46" s="112"/>
      <c r="BEJ46" s="112"/>
      <c r="BEK46" s="112"/>
      <c r="BEL46" s="112"/>
      <c r="BEM46" s="112"/>
      <c r="BEN46" s="112"/>
      <c r="BEO46" s="112"/>
      <c r="BEP46" s="112"/>
      <c r="BEQ46" s="112"/>
      <c r="BER46" s="112"/>
      <c r="BES46" s="112"/>
      <c r="BET46" s="112"/>
      <c r="BEU46" s="112"/>
      <c r="BEV46" s="112"/>
      <c r="BEW46" s="112"/>
      <c r="BEX46" s="112"/>
      <c r="BEY46" s="112"/>
      <c r="BEZ46" s="112"/>
      <c r="BFA46" s="112"/>
      <c r="BFB46" s="112"/>
      <c r="BFC46" s="112"/>
      <c r="BFD46" s="112"/>
      <c r="BFE46" s="112"/>
      <c r="BFF46" s="112"/>
      <c r="BFG46" s="112"/>
      <c r="BFH46" s="112"/>
      <c r="BFI46" s="112"/>
      <c r="BFJ46" s="112"/>
      <c r="BFK46" s="112"/>
      <c r="BFL46" s="112"/>
      <c r="BFM46" s="112"/>
      <c r="BFN46" s="112"/>
      <c r="BFO46" s="112"/>
      <c r="BFP46" s="112"/>
      <c r="BFQ46" s="112"/>
      <c r="BFR46" s="112"/>
      <c r="BFS46" s="112"/>
      <c r="BFT46" s="112"/>
      <c r="BFU46" s="112"/>
      <c r="BFV46" s="112"/>
      <c r="BFW46" s="112"/>
      <c r="BFX46" s="112"/>
      <c r="BFY46" s="112"/>
      <c r="BFZ46" s="112"/>
      <c r="BGA46" s="112"/>
      <c r="BGB46" s="112"/>
      <c r="BGC46" s="112"/>
      <c r="BGD46" s="112"/>
      <c r="BGE46" s="112"/>
      <c r="BGF46" s="112"/>
      <c r="BGG46" s="112"/>
      <c r="BGH46" s="112"/>
      <c r="BGI46" s="112"/>
      <c r="BGJ46" s="112"/>
      <c r="BGK46" s="112"/>
      <c r="BGL46" s="112"/>
      <c r="BGM46" s="112"/>
      <c r="BGN46" s="112"/>
      <c r="BGO46" s="112"/>
      <c r="BGP46" s="112"/>
      <c r="BGQ46" s="112"/>
      <c r="BGR46" s="112"/>
      <c r="BGS46" s="112"/>
      <c r="BGT46" s="112"/>
      <c r="BGU46" s="112"/>
      <c r="BGV46" s="112"/>
      <c r="BGW46" s="112"/>
      <c r="BGX46" s="112"/>
      <c r="BGY46" s="112"/>
      <c r="BGZ46" s="112"/>
      <c r="BHA46" s="112"/>
      <c r="BHB46" s="112"/>
      <c r="BHC46" s="112"/>
      <c r="BHD46" s="112"/>
      <c r="BHE46" s="112"/>
      <c r="BHF46" s="112"/>
      <c r="BHG46" s="112"/>
      <c r="BHH46" s="112"/>
      <c r="BHI46" s="112"/>
      <c r="BHJ46" s="112"/>
      <c r="BHK46" s="112"/>
      <c r="BHL46" s="112"/>
      <c r="BHM46" s="112"/>
      <c r="BHN46" s="112"/>
      <c r="BHO46" s="112"/>
      <c r="BHP46" s="112"/>
      <c r="BHQ46" s="112"/>
      <c r="BHR46" s="112"/>
      <c r="BHS46" s="112"/>
      <c r="BHT46" s="112"/>
      <c r="BHU46" s="112"/>
      <c r="BHV46" s="112"/>
      <c r="BHW46" s="112"/>
      <c r="BHX46" s="112"/>
      <c r="BHY46" s="112"/>
      <c r="BHZ46" s="112"/>
      <c r="BIA46" s="112"/>
      <c r="BIB46" s="112"/>
      <c r="BIC46" s="112"/>
      <c r="BID46" s="112"/>
      <c r="BIE46" s="112"/>
      <c r="BIF46" s="112"/>
      <c r="BIG46" s="112"/>
      <c r="BIH46" s="112"/>
      <c r="BII46" s="112"/>
      <c r="BIJ46" s="112"/>
      <c r="BIK46" s="112"/>
      <c r="BIL46" s="112"/>
      <c r="BIM46" s="112"/>
      <c r="BIN46" s="112"/>
      <c r="BIO46" s="112"/>
      <c r="BIP46" s="112"/>
      <c r="BIQ46" s="112"/>
      <c r="BIR46" s="112"/>
      <c r="BIS46" s="112"/>
      <c r="BIT46" s="112"/>
      <c r="BIU46" s="112"/>
      <c r="BIV46" s="112"/>
      <c r="BIW46" s="112"/>
      <c r="BIX46" s="112"/>
      <c r="BIY46" s="112"/>
      <c r="BIZ46" s="112"/>
      <c r="BJA46" s="112"/>
      <c r="BJB46" s="112"/>
      <c r="BJC46" s="112"/>
      <c r="BJD46" s="112"/>
      <c r="BJE46" s="112"/>
      <c r="BJF46" s="112"/>
      <c r="BJG46" s="112"/>
      <c r="BJH46" s="112"/>
      <c r="BJI46" s="112"/>
      <c r="BJJ46" s="112"/>
      <c r="BJK46" s="112"/>
      <c r="BJL46" s="112"/>
      <c r="BJM46" s="112"/>
      <c r="BJN46" s="112"/>
      <c r="BJO46" s="112"/>
      <c r="BJP46" s="112"/>
      <c r="BJQ46" s="112"/>
      <c r="BJR46" s="112"/>
      <c r="BJS46" s="112"/>
      <c r="BJT46" s="112"/>
      <c r="BJU46" s="112"/>
      <c r="BJV46" s="112"/>
      <c r="BJW46" s="112"/>
      <c r="BJX46" s="112"/>
      <c r="BJY46" s="112"/>
      <c r="BJZ46" s="112"/>
      <c r="BKA46" s="112"/>
      <c r="BKB46" s="112"/>
      <c r="BKC46" s="112"/>
      <c r="BKD46" s="112"/>
      <c r="BKE46" s="112"/>
      <c r="BKF46" s="112"/>
      <c r="BKG46" s="112"/>
      <c r="BKH46" s="112"/>
      <c r="BKI46" s="112"/>
      <c r="BKJ46" s="112"/>
      <c r="BKK46" s="112"/>
      <c r="BKL46" s="112"/>
      <c r="BKM46" s="112"/>
      <c r="BKN46" s="112"/>
      <c r="BKO46" s="112"/>
      <c r="BKP46" s="112"/>
      <c r="BKQ46" s="112"/>
      <c r="BKR46" s="112"/>
      <c r="BKS46" s="112"/>
      <c r="BKT46" s="112"/>
      <c r="BKU46" s="112"/>
      <c r="BKV46" s="112"/>
      <c r="BKW46" s="112"/>
      <c r="BKX46" s="112"/>
      <c r="BKY46" s="112"/>
      <c r="BKZ46" s="112"/>
      <c r="BLA46" s="112"/>
      <c r="BLB46" s="112"/>
      <c r="BLC46" s="112"/>
      <c r="BLD46" s="112"/>
      <c r="BLE46" s="112"/>
      <c r="BLF46" s="112"/>
      <c r="BLG46" s="112"/>
      <c r="BLH46" s="112"/>
      <c r="BLI46" s="112"/>
      <c r="BLJ46" s="112"/>
      <c r="BLK46" s="112"/>
      <c r="BLL46" s="112"/>
      <c r="BLM46" s="112"/>
      <c r="BLN46" s="112"/>
      <c r="BLO46" s="112"/>
      <c r="BLP46" s="112"/>
      <c r="BLQ46" s="112"/>
      <c r="BLR46" s="112"/>
      <c r="BLS46" s="112"/>
      <c r="BLT46" s="112"/>
      <c r="BLU46" s="112"/>
      <c r="BLV46" s="112"/>
      <c r="BLW46" s="112"/>
      <c r="BLX46" s="112"/>
      <c r="BLY46" s="112"/>
      <c r="BLZ46" s="112"/>
      <c r="BMA46" s="112"/>
      <c r="BMB46" s="112"/>
      <c r="BMC46" s="112"/>
      <c r="BMD46" s="112"/>
      <c r="BME46" s="112"/>
      <c r="BMF46" s="112"/>
      <c r="BMG46" s="112"/>
      <c r="BMH46" s="112"/>
      <c r="BMI46" s="112"/>
      <c r="BMJ46" s="112"/>
      <c r="BMK46" s="112"/>
      <c r="BML46" s="112"/>
      <c r="BMM46" s="112"/>
      <c r="BMN46" s="112"/>
      <c r="BMO46" s="112"/>
      <c r="BMP46" s="112"/>
      <c r="BMQ46" s="112"/>
      <c r="BMR46" s="112"/>
      <c r="BMS46" s="112"/>
      <c r="BMT46" s="112"/>
      <c r="BMU46" s="112"/>
      <c r="BMV46" s="112"/>
      <c r="BMW46" s="112"/>
      <c r="BMX46" s="112"/>
      <c r="BMY46" s="112"/>
      <c r="BMZ46" s="112"/>
      <c r="BNA46" s="112"/>
      <c r="BNB46" s="112"/>
      <c r="BNC46" s="112"/>
      <c r="BND46" s="112"/>
      <c r="BNE46" s="112"/>
      <c r="BNF46" s="112"/>
      <c r="BNG46" s="112"/>
      <c r="BNH46" s="112"/>
      <c r="BNI46" s="112"/>
      <c r="BNJ46" s="112"/>
      <c r="BNK46" s="112"/>
      <c r="BNL46" s="112"/>
      <c r="BNM46" s="112"/>
      <c r="BNN46" s="112"/>
      <c r="BNO46" s="112"/>
      <c r="BNP46" s="112"/>
      <c r="BNQ46" s="112"/>
      <c r="BNR46" s="112"/>
      <c r="BNS46" s="112"/>
      <c r="BNT46" s="112"/>
      <c r="BNU46" s="112"/>
      <c r="BNV46" s="112"/>
    </row>
    <row r="47" spans="1:1738" x14ac:dyDescent="0.25">
      <c r="A47" s="140" t="s">
        <v>50</v>
      </c>
      <c r="B47" s="15" t="s">
        <v>43</v>
      </c>
      <c r="C47" s="118">
        <v>345</v>
      </c>
      <c r="D47" s="473">
        <v>16.600000000000001</v>
      </c>
      <c r="E47" s="300">
        <v>71</v>
      </c>
      <c r="F47" s="431">
        <v>0.12676056338028169</v>
      </c>
      <c r="G47" s="243">
        <v>0.17100000000000001</v>
      </c>
      <c r="H47" s="14">
        <v>0.56759999999999999</v>
      </c>
      <c r="I47" s="283">
        <v>4.8</v>
      </c>
      <c r="J47" s="244">
        <v>0.30188679245283018</v>
      </c>
      <c r="K47" s="244">
        <v>0.660377358490566</v>
      </c>
      <c r="L47" s="245">
        <v>18</v>
      </c>
      <c r="M47" s="251">
        <v>0.7831325301204819</v>
      </c>
      <c r="N47" s="440">
        <v>3</v>
      </c>
      <c r="O47" s="440">
        <v>0</v>
      </c>
      <c r="P47" s="440">
        <v>3</v>
      </c>
      <c r="Q47" s="39"/>
      <c r="R47" s="140" t="s">
        <v>50</v>
      </c>
    </row>
    <row r="48" spans="1:1738" x14ac:dyDescent="0.25">
      <c r="A48" s="140" t="s">
        <v>42</v>
      </c>
      <c r="B48" s="15" t="s">
        <v>43</v>
      </c>
      <c r="C48" s="118">
        <v>349</v>
      </c>
      <c r="D48" s="473">
        <v>19</v>
      </c>
      <c r="E48" s="300">
        <v>69</v>
      </c>
      <c r="F48" s="431">
        <v>8.6956521739130432E-2</v>
      </c>
      <c r="G48" s="243">
        <v>9.6000000000000002E-2</v>
      </c>
      <c r="H48" s="23">
        <v>0.5474</v>
      </c>
      <c r="I48" s="283">
        <v>4.8</v>
      </c>
      <c r="J48" s="244">
        <v>0.203125</v>
      </c>
      <c r="K48" s="244">
        <v>0.765625</v>
      </c>
      <c r="L48" s="246">
        <v>12</v>
      </c>
      <c r="M48" s="251">
        <v>0.36842105263157893</v>
      </c>
      <c r="N48" s="440">
        <v>3</v>
      </c>
      <c r="O48" s="440">
        <v>0</v>
      </c>
      <c r="P48" s="440">
        <v>3</v>
      </c>
      <c r="Q48" s="39"/>
      <c r="R48" s="140" t="s">
        <v>42</v>
      </c>
    </row>
    <row r="49" spans="1:1738" s="386" customFormat="1" ht="38.25" customHeight="1" x14ac:dyDescent="0.25">
      <c r="A49" s="143" t="s">
        <v>317</v>
      </c>
      <c r="B49" s="71" t="s">
        <v>43</v>
      </c>
      <c r="C49" s="119" t="s">
        <v>313</v>
      </c>
      <c r="D49" s="477">
        <v>45.25</v>
      </c>
      <c r="E49" s="383">
        <v>134</v>
      </c>
      <c r="F49" s="432">
        <v>0.11940298507462686</v>
      </c>
      <c r="G49" s="286">
        <v>0.32400000000000001</v>
      </c>
      <c r="H49" s="282">
        <v>0.30859999999999999</v>
      </c>
      <c r="I49" s="430">
        <v>4.3</v>
      </c>
      <c r="J49" s="429">
        <v>0.2878787878787879</v>
      </c>
      <c r="K49" s="380">
        <v>0.64393939393939392</v>
      </c>
      <c r="L49" s="385">
        <v>26</v>
      </c>
      <c r="M49" s="382">
        <v>0.50828729281767959</v>
      </c>
      <c r="N49" s="452">
        <v>3</v>
      </c>
      <c r="O49" s="452">
        <v>1</v>
      </c>
      <c r="P49" s="452">
        <v>2</v>
      </c>
      <c r="Q49" s="71"/>
      <c r="R49" s="143" t="s">
        <v>317</v>
      </c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  <c r="II49" s="125"/>
      <c r="IJ49" s="125"/>
      <c r="IK49" s="125"/>
      <c r="IL49" s="125"/>
      <c r="IM49" s="125"/>
      <c r="IN49" s="125"/>
      <c r="IO49" s="125"/>
      <c r="IP49" s="125"/>
      <c r="IQ49" s="125"/>
      <c r="IR49" s="125"/>
      <c r="IS49" s="125"/>
      <c r="IT49" s="125"/>
      <c r="IU49" s="125"/>
      <c r="IV49" s="125"/>
      <c r="IW49" s="125"/>
      <c r="IX49" s="125"/>
      <c r="IY49" s="125"/>
      <c r="IZ49" s="125"/>
      <c r="JA49" s="125"/>
      <c r="JB49" s="125"/>
      <c r="JC49" s="125"/>
      <c r="JD49" s="125"/>
      <c r="JE49" s="125"/>
      <c r="JF49" s="125"/>
      <c r="JG49" s="125"/>
      <c r="JH49" s="125"/>
      <c r="JI49" s="125"/>
      <c r="JJ49" s="125"/>
      <c r="JK49" s="125"/>
      <c r="JL49" s="125"/>
      <c r="JM49" s="125"/>
      <c r="JN49" s="125"/>
      <c r="JO49" s="125"/>
      <c r="JP49" s="125"/>
      <c r="JQ49" s="125"/>
      <c r="JR49" s="125"/>
      <c r="JS49" s="125"/>
      <c r="JT49" s="125"/>
      <c r="JU49" s="125"/>
      <c r="JV49" s="125"/>
      <c r="JW49" s="125"/>
      <c r="JX49" s="125"/>
      <c r="JY49" s="125"/>
      <c r="JZ49" s="125"/>
      <c r="KA49" s="125"/>
      <c r="KB49" s="125"/>
      <c r="KC49" s="125"/>
      <c r="KD49" s="125"/>
      <c r="KE49" s="125"/>
      <c r="KF49" s="125"/>
      <c r="KG49" s="125"/>
      <c r="KH49" s="125"/>
      <c r="KI49" s="125"/>
      <c r="KJ49" s="125"/>
      <c r="KK49" s="125"/>
      <c r="KL49" s="125"/>
      <c r="KM49" s="125"/>
      <c r="KN49" s="125"/>
      <c r="KO49" s="125"/>
      <c r="KP49" s="125"/>
      <c r="KQ49" s="125"/>
      <c r="KR49" s="125"/>
      <c r="KS49" s="125"/>
      <c r="KT49" s="125"/>
      <c r="KU49" s="125"/>
      <c r="KV49" s="125"/>
      <c r="KW49" s="125"/>
      <c r="KX49" s="125"/>
      <c r="KY49" s="125"/>
      <c r="KZ49" s="125"/>
      <c r="LA49" s="125"/>
      <c r="LB49" s="125"/>
      <c r="LC49" s="125"/>
      <c r="LD49" s="125"/>
      <c r="LE49" s="125"/>
      <c r="LF49" s="125"/>
      <c r="LG49" s="125"/>
      <c r="LH49" s="125"/>
      <c r="LI49" s="125"/>
      <c r="LJ49" s="125"/>
      <c r="LK49" s="125"/>
      <c r="LL49" s="125"/>
      <c r="LM49" s="125"/>
      <c r="LN49" s="125"/>
      <c r="LO49" s="125"/>
      <c r="LP49" s="125"/>
      <c r="LQ49" s="125"/>
      <c r="LR49" s="125"/>
      <c r="LS49" s="125"/>
      <c r="LT49" s="125"/>
      <c r="LU49" s="125"/>
      <c r="LV49" s="125"/>
      <c r="LW49" s="125"/>
      <c r="LX49" s="125"/>
      <c r="LY49" s="125"/>
      <c r="LZ49" s="125"/>
      <c r="MA49" s="125"/>
      <c r="MB49" s="125"/>
      <c r="MC49" s="125"/>
      <c r="MD49" s="125"/>
      <c r="ME49" s="125"/>
      <c r="MF49" s="125"/>
      <c r="MG49" s="125"/>
      <c r="MH49" s="125"/>
      <c r="MI49" s="125"/>
      <c r="MJ49" s="125"/>
      <c r="MK49" s="125"/>
      <c r="ML49" s="125"/>
      <c r="MM49" s="125"/>
      <c r="MN49" s="125"/>
      <c r="MO49" s="125"/>
      <c r="MP49" s="125"/>
      <c r="MQ49" s="125"/>
      <c r="MR49" s="125"/>
      <c r="MS49" s="125"/>
      <c r="MT49" s="125"/>
      <c r="MU49" s="125"/>
      <c r="MV49" s="125"/>
      <c r="MW49" s="125"/>
      <c r="MX49" s="125"/>
      <c r="MY49" s="125"/>
      <c r="MZ49" s="125"/>
      <c r="NA49" s="125"/>
      <c r="NB49" s="125"/>
      <c r="NC49" s="125"/>
      <c r="ND49" s="125"/>
      <c r="NE49" s="125"/>
      <c r="NF49" s="125"/>
      <c r="NG49" s="125"/>
      <c r="NH49" s="125"/>
      <c r="NI49" s="125"/>
      <c r="NJ49" s="125"/>
      <c r="NK49" s="125"/>
      <c r="NL49" s="125"/>
      <c r="NM49" s="125"/>
      <c r="NN49" s="125"/>
      <c r="NO49" s="125"/>
      <c r="NP49" s="125"/>
      <c r="NQ49" s="125"/>
      <c r="NR49" s="125"/>
      <c r="NS49" s="125"/>
      <c r="NT49" s="125"/>
      <c r="NU49" s="125"/>
      <c r="NV49" s="125"/>
      <c r="NW49" s="125"/>
      <c r="NX49" s="125"/>
      <c r="NY49" s="125"/>
      <c r="NZ49" s="125"/>
      <c r="OA49" s="125"/>
      <c r="OB49" s="125"/>
      <c r="OC49" s="125"/>
      <c r="OD49" s="125"/>
      <c r="OE49" s="125"/>
      <c r="OF49" s="125"/>
      <c r="OG49" s="125"/>
      <c r="OH49" s="125"/>
      <c r="OI49" s="125"/>
      <c r="OJ49" s="125"/>
      <c r="OK49" s="125"/>
      <c r="OL49" s="125"/>
      <c r="OM49" s="125"/>
      <c r="ON49" s="125"/>
      <c r="OO49" s="125"/>
      <c r="OP49" s="125"/>
      <c r="OQ49" s="125"/>
      <c r="OR49" s="125"/>
      <c r="OS49" s="125"/>
      <c r="OT49" s="125"/>
      <c r="OU49" s="125"/>
      <c r="OV49" s="125"/>
      <c r="OW49" s="125"/>
      <c r="OX49" s="125"/>
      <c r="OY49" s="125"/>
      <c r="OZ49" s="125"/>
      <c r="PA49" s="125"/>
      <c r="PB49" s="125"/>
      <c r="PC49" s="125"/>
      <c r="PD49" s="125"/>
      <c r="PE49" s="125"/>
      <c r="PF49" s="125"/>
      <c r="PG49" s="125"/>
      <c r="PH49" s="125"/>
      <c r="PI49" s="125"/>
      <c r="PJ49" s="125"/>
      <c r="PK49" s="125"/>
      <c r="PL49" s="125"/>
      <c r="PM49" s="125"/>
      <c r="PN49" s="125"/>
      <c r="PO49" s="125"/>
      <c r="PP49" s="125"/>
      <c r="PQ49" s="125"/>
      <c r="PR49" s="125"/>
      <c r="PS49" s="125"/>
      <c r="PT49" s="125"/>
      <c r="PU49" s="125"/>
      <c r="PV49" s="125"/>
      <c r="PW49" s="125"/>
      <c r="PX49" s="125"/>
      <c r="PY49" s="125"/>
      <c r="PZ49" s="125"/>
      <c r="QA49" s="125"/>
      <c r="QB49" s="125"/>
      <c r="QC49" s="125"/>
      <c r="QD49" s="125"/>
      <c r="QE49" s="125"/>
      <c r="QF49" s="125"/>
      <c r="QG49" s="125"/>
      <c r="QH49" s="125"/>
      <c r="QI49" s="125"/>
      <c r="QJ49" s="125"/>
      <c r="QK49" s="125"/>
      <c r="QL49" s="125"/>
      <c r="QM49" s="125"/>
      <c r="QN49" s="125"/>
      <c r="QO49" s="125"/>
      <c r="QP49" s="125"/>
      <c r="QQ49" s="125"/>
      <c r="QR49" s="125"/>
      <c r="QS49" s="125"/>
      <c r="QT49" s="125"/>
      <c r="QU49" s="125"/>
      <c r="QV49" s="125"/>
      <c r="QW49" s="125"/>
      <c r="QX49" s="125"/>
      <c r="QY49" s="125"/>
      <c r="QZ49" s="125"/>
      <c r="RA49" s="125"/>
      <c r="RB49" s="125"/>
      <c r="RC49" s="125"/>
      <c r="RD49" s="125"/>
      <c r="RE49" s="125"/>
      <c r="RF49" s="125"/>
      <c r="RG49" s="125"/>
      <c r="RH49" s="125"/>
      <c r="RI49" s="125"/>
      <c r="RJ49" s="125"/>
      <c r="RK49" s="125"/>
      <c r="RL49" s="125"/>
      <c r="RM49" s="125"/>
      <c r="RN49" s="125"/>
      <c r="RO49" s="125"/>
      <c r="RP49" s="125"/>
      <c r="RQ49" s="125"/>
      <c r="RR49" s="125"/>
      <c r="RS49" s="125"/>
      <c r="RT49" s="125"/>
      <c r="RU49" s="125"/>
      <c r="RV49" s="125"/>
      <c r="RW49" s="125"/>
      <c r="RX49" s="125"/>
      <c r="RY49" s="125"/>
      <c r="RZ49" s="125"/>
      <c r="SA49" s="125"/>
      <c r="SB49" s="125"/>
      <c r="SC49" s="125"/>
      <c r="SD49" s="125"/>
      <c r="SE49" s="125"/>
      <c r="SF49" s="125"/>
      <c r="SG49" s="125"/>
      <c r="SH49" s="125"/>
      <c r="SI49" s="125"/>
      <c r="SJ49" s="125"/>
      <c r="SK49" s="125"/>
      <c r="SL49" s="125"/>
      <c r="SM49" s="125"/>
      <c r="SN49" s="125"/>
      <c r="SO49" s="125"/>
      <c r="SP49" s="125"/>
      <c r="SQ49" s="125"/>
      <c r="SR49" s="125"/>
      <c r="SS49" s="125"/>
      <c r="ST49" s="125"/>
      <c r="SU49" s="125"/>
      <c r="SV49" s="125"/>
      <c r="SW49" s="125"/>
      <c r="SX49" s="125"/>
      <c r="SY49" s="125"/>
      <c r="SZ49" s="125"/>
      <c r="TA49" s="125"/>
      <c r="TB49" s="125"/>
      <c r="TC49" s="125"/>
      <c r="TD49" s="125"/>
      <c r="TE49" s="125"/>
      <c r="TF49" s="125"/>
      <c r="TG49" s="125"/>
      <c r="TH49" s="125"/>
      <c r="TI49" s="125"/>
      <c r="TJ49" s="125"/>
      <c r="TK49" s="125"/>
      <c r="TL49" s="125"/>
      <c r="TM49" s="125"/>
      <c r="TN49" s="125"/>
      <c r="TO49" s="125"/>
      <c r="TP49" s="125"/>
      <c r="TQ49" s="125"/>
      <c r="TR49" s="125"/>
      <c r="TS49" s="125"/>
      <c r="TT49" s="125"/>
      <c r="TU49" s="125"/>
      <c r="TV49" s="125"/>
      <c r="TW49" s="125"/>
      <c r="TX49" s="125"/>
      <c r="TY49" s="125"/>
      <c r="TZ49" s="125"/>
      <c r="UA49" s="125"/>
      <c r="UB49" s="125"/>
      <c r="UC49" s="125"/>
      <c r="UD49" s="125"/>
      <c r="UE49" s="125"/>
      <c r="UF49" s="125"/>
      <c r="UG49" s="125"/>
      <c r="UH49" s="125"/>
      <c r="UI49" s="125"/>
      <c r="UJ49" s="125"/>
      <c r="UK49" s="125"/>
      <c r="UL49" s="125"/>
      <c r="UM49" s="125"/>
      <c r="UN49" s="125"/>
      <c r="UO49" s="125"/>
      <c r="UP49" s="125"/>
      <c r="UQ49" s="125"/>
      <c r="UR49" s="125"/>
      <c r="US49" s="125"/>
      <c r="UT49" s="125"/>
      <c r="UU49" s="125"/>
      <c r="UV49" s="125"/>
      <c r="UW49" s="125"/>
      <c r="UX49" s="125"/>
      <c r="UY49" s="125"/>
      <c r="UZ49" s="125"/>
      <c r="VA49" s="125"/>
      <c r="VB49" s="125"/>
      <c r="VC49" s="125"/>
      <c r="VD49" s="125"/>
      <c r="VE49" s="125"/>
      <c r="VF49" s="125"/>
      <c r="VG49" s="125"/>
      <c r="VH49" s="125"/>
      <c r="VI49" s="125"/>
      <c r="VJ49" s="125"/>
      <c r="VK49" s="125"/>
      <c r="VL49" s="125"/>
      <c r="VM49" s="125"/>
      <c r="VN49" s="125"/>
      <c r="VO49" s="125"/>
      <c r="VP49" s="125"/>
      <c r="VQ49" s="125"/>
      <c r="VR49" s="125"/>
      <c r="VS49" s="125"/>
      <c r="VT49" s="125"/>
      <c r="VU49" s="125"/>
      <c r="VV49" s="125"/>
      <c r="VW49" s="125"/>
      <c r="VX49" s="125"/>
      <c r="VY49" s="125"/>
      <c r="VZ49" s="125"/>
      <c r="WA49" s="125"/>
      <c r="WB49" s="125"/>
      <c r="WC49" s="125"/>
      <c r="WD49" s="125"/>
      <c r="WE49" s="125"/>
      <c r="WF49" s="125"/>
      <c r="WG49" s="125"/>
      <c r="WH49" s="125"/>
      <c r="WI49" s="125"/>
      <c r="WJ49" s="125"/>
      <c r="WK49" s="125"/>
      <c r="WL49" s="125"/>
      <c r="WM49" s="125"/>
      <c r="WN49" s="125"/>
      <c r="WO49" s="125"/>
      <c r="WP49" s="125"/>
      <c r="WQ49" s="125"/>
      <c r="WR49" s="125"/>
      <c r="WS49" s="125"/>
      <c r="WT49" s="125"/>
      <c r="WU49" s="125"/>
      <c r="WV49" s="125"/>
      <c r="WW49" s="125"/>
      <c r="WX49" s="125"/>
      <c r="WY49" s="125"/>
      <c r="WZ49" s="125"/>
      <c r="XA49" s="125"/>
      <c r="XB49" s="125"/>
      <c r="XC49" s="125"/>
      <c r="XD49" s="125"/>
      <c r="XE49" s="125"/>
      <c r="XF49" s="125"/>
      <c r="XG49" s="125"/>
      <c r="XH49" s="125"/>
      <c r="XI49" s="125"/>
      <c r="XJ49" s="125"/>
      <c r="XK49" s="125"/>
      <c r="XL49" s="125"/>
      <c r="XM49" s="125"/>
      <c r="XN49" s="125"/>
      <c r="XO49" s="125"/>
      <c r="XP49" s="125"/>
      <c r="XQ49" s="125"/>
      <c r="XR49" s="125"/>
      <c r="XS49" s="125"/>
      <c r="XT49" s="125"/>
      <c r="XU49" s="125"/>
      <c r="XV49" s="125"/>
      <c r="XW49" s="125"/>
      <c r="XX49" s="125"/>
      <c r="XY49" s="125"/>
      <c r="XZ49" s="125"/>
      <c r="YA49" s="125"/>
      <c r="YB49" s="125"/>
      <c r="YC49" s="125"/>
      <c r="YD49" s="125"/>
      <c r="YE49" s="125"/>
      <c r="YF49" s="125"/>
      <c r="YG49" s="125"/>
      <c r="YH49" s="125"/>
      <c r="YI49" s="125"/>
      <c r="YJ49" s="125"/>
      <c r="YK49" s="125"/>
      <c r="YL49" s="125"/>
      <c r="YM49" s="125"/>
      <c r="YN49" s="125"/>
      <c r="YO49" s="125"/>
      <c r="YP49" s="125"/>
      <c r="YQ49" s="125"/>
      <c r="YR49" s="125"/>
      <c r="YS49" s="125"/>
      <c r="YT49" s="125"/>
      <c r="YU49" s="125"/>
      <c r="YV49" s="125"/>
      <c r="YW49" s="125"/>
      <c r="YX49" s="125"/>
      <c r="YY49" s="125"/>
      <c r="YZ49" s="125"/>
      <c r="ZA49" s="125"/>
      <c r="ZB49" s="125"/>
      <c r="ZC49" s="125"/>
      <c r="ZD49" s="125"/>
      <c r="ZE49" s="125"/>
      <c r="ZF49" s="125"/>
      <c r="ZG49" s="125"/>
      <c r="ZH49" s="125"/>
      <c r="ZI49" s="125"/>
      <c r="ZJ49" s="125"/>
      <c r="ZK49" s="125"/>
      <c r="ZL49" s="125"/>
      <c r="ZM49" s="125"/>
      <c r="ZN49" s="125"/>
      <c r="ZO49" s="125"/>
      <c r="ZP49" s="125"/>
      <c r="ZQ49" s="125"/>
      <c r="ZR49" s="125"/>
      <c r="ZS49" s="125"/>
      <c r="ZT49" s="125"/>
      <c r="ZU49" s="125"/>
      <c r="ZV49" s="125"/>
      <c r="ZW49" s="125"/>
      <c r="ZX49" s="125"/>
      <c r="ZY49" s="125"/>
      <c r="ZZ49" s="125"/>
      <c r="AAA49" s="125"/>
      <c r="AAB49" s="125"/>
      <c r="AAC49" s="125"/>
      <c r="AAD49" s="125"/>
      <c r="AAE49" s="125"/>
      <c r="AAF49" s="125"/>
      <c r="AAG49" s="125"/>
      <c r="AAH49" s="125"/>
      <c r="AAI49" s="125"/>
      <c r="AAJ49" s="125"/>
      <c r="AAK49" s="125"/>
      <c r="AAL49" s="125"/>
      <c r="AAM49" s="125"/>
      <c r="AAN49" s="125"/>
      <c r="AAO49" s="125"/>
      <c r="AAP49" s="125"/>
      <c r="AAQ49" s="125"/>
      <c r="AAR49" s="125"/>
      <c r="AAS49" s="125"/>
      <c r="AAT49" s="125"/>
      <c r="AAU49" s="125"/>
      <c r="AAV49" s="125"/>
      <c r="AAW49" s="125"/>
      <c r="AAX49" s="125"/>
      <c r="AAY49" s="125"/>
      <c r="AAZ49" s="125"/>
      <c r="ABA49" s="125"/>
      <c r="ABB49" s="125"/>
      <c r="ABC49" s="125"/>
      <c r="ABD49" s="125"/>
      <c r="ABE49" s="125"/>
      <c r="ABF49" s="125"/>
      <c r="ABG49" s="125"/>
      <c r="ABH49" s="125"/>
      <c r="ABI49" s="125"/>
      <c r="ABJ49" s="125"/>
      <c r="ABK49" s="125"/>
      <c r="ABL49" s="125"/>
      <c r="ABM49" s="125"/>
      <c r="ABN49" s="125"/>
      <c r="ABO49" s="125"/>
      <c r="ABP49" s="125"/>
      <c r="ABQ49" s="125"/>
      <c r="ABR49" s="125"/>
      <c r="ABS49" s="125"/>
      <c r="ABT49" s="125"/>
      <c r="ABU49" s="125"/>
      <c r="ABV49" s="125"/>
      <c r="ABW49" s="125"/>
      <c r="ABX49" s="125"/>
      <c r="ABY49" s="125"/>
      <c r="ABZ49" s="125"/>
      <c r="ACA49" s="125"/>
      <c r="ACB49" s="125"/>
      <c r="ACC49" s="125"/>
      <c r="ACD49" s="125"/>
      <c r="ACE49" s="125"/>
      <c r="ACF49" s="125"/>
      <c r="ACG49" s="125"/>
      <c r="ACH49" s="125"/>
      <c r="ACI49" s="125"/>
      <c r="ACJ49" s="125"/>
      <c r="ACK49" s="125"/>
      <c r="ACL49" s="125"/>
      <c r="ACM49" s="125"/>
      <c r="ACN49" s="125"/>
      <c r="ACO49" s="125"/>
      <c r="ACP49" s="125"/>
      <c r="ACQ49" s="125"/>
      <c r="ACR49" s="125"/>
      <c r="ACS49" s="125"/>
      <c r="ACT49" s="125"/>
      <c r="ACU49" s="125"/>
      <c r="ACV49" s="125"/>
      <c r="ACW49" s="125"/>
      <c r="ACX49" s="125"/>
      <c r="ACY49" s="125"/>
      <c r="ACZ49" s="125"/>
      <c r="ADA49" s="125"/>
      <c r="ADB49" s="125"/>
      <c r="ADC49" s="125"/>
      <c r="ADD49" s="125"/>
      <c r="ADE49" s="125"/>
      <c r="ADF49" s="125"/>
      <c r="ADG49" s="125"/>
      <c r="ADH49" s="125"/>
      <c r="ADI49" s="125"/>
      <c r="ADJ49" s="125"/>
      <c r="ADK49" s="125"/>
      <c r="ADL49" s="125"/>
      <c r="ADM49" s="125"/>
      <c r="ADN49" s="125"/>
      <c r="ADO49" s="125"/>
      <c r="ADP49" s="125"/>
      <c r="ADQ49" s="125"/>
      <c r="ADR49" s="125"/>
      <c r="ADS49" s="125"/>
      <c r="ADT49" s="125"/>
      <c r="ADU49" s="125"/>
      <c r="ADV49" s="125"/>
      <c r="ADW49" s="125"/>
      <c r="ADX49" s="125"/>
      <c r="ADY49" s="125"/>
      <c r="ADZ49" s="125"/>
      <c r="AEA49" s="125"/>
      <c r="AEB49" s="125"/>
      <c r="AEC49" s="125"/>
      <c r="AED49" s="125"/>
      <c r="AEE49" s="125"/>
      <c r="AEF49" s="125"/>
      <c r="AEG49" s="125"/>
      <c r="AEH49" s="125"/>
      <c r="AEI49" s="125"/>
      <c r="AEJ49" s="125"/>
      <c r="AEK49" s="125"/>
      <c r="AEL49" s="125"/>
      <c r="AEM49" s="125"/>
      <c r="AEN49" s="125"/>
      <c r="AEO49" s="125"/>
      <c r="AEP49" s="125"/>
      <c r="AEQ49" s="125"/>
      <c r="AER49" s="125"/>
      <c r="AES49" s="125"/>
      <c r="AET49" s="125"/>
      <c r="AEU49" s="125"/>
      <c r="AEV49" s="125"/>
      <c r="AEW49" s="125"/>
      <c r="AEX49" s="125"/>
      <c r="AEY49" s="125"/>
      <c r="AEZ49" s="125"/>
      <c r="AFA49" s="125"/>
      <c r="AFB49" s="125"/>
      <c r="AFC49" s="125"/>
      <c r="AFD49" s="125"/>
      <c r="AFE49" s="125"/>
      <c r="AFF49" s="125"/>
      <c r="AFG49" s="125"/>
      <c r="AFH49" s="125"/>
      <c r="AFI49" s="125"/>
      <c r="AFJ49" s="125"/>
      <c r="AFK49" s="125"/>
      <c r="AFL49" s="125"/>
      <c r="AFM49" s="125"/>
      <c r="AFN49" s="125"/>
      <c r="AFO49" s="125"/>
      <c r="AFP49" s="125"/>
      <c r="AFQ49" s="125"/>
      <c r="AFR49" s="125"/>
      <c r="AFS49" s="125"/>
      <c r="AFT49" s="125"/>
      <c r="AFU49" s="125"/>
      <c r="AFV49" s="125"/>
      <c r="AFW49" s="125"/>
      <c r="AFX49" s="125"/>
      <c r="AFY49" s="125"/>
      <c r="AFZ49" s="125"/>
      <c r="AGA49" s="125"/>
      <c r="AGB49" s="125"/>
      <c r="AGC49" s="125"/>
      <c r="AGD49" s="125"/>
      <c r="AGE49" s="125"/>
      <c r="AGF49" s="125"/>
      <c r="AGG49" s="125"/>
      <c r="AGH49" s="125"/>
      <c r="AGI49" s="125"/>
      <c r="AGJ49" s="125"/>
      <c r="AGK49" s="125"/>
      <c r="AGL49" s="125"/>
      <c r="AGM49" s="125"/>
      <c r="AGN49" s="125"/>
      <c r="AGO49" s="125"/>
      <c r="AGP49" s="125"/>
      <c r="AGQ49" s="125"/>
      <c r="AGR49" s="125"/>
      <c r="AGS49" s="125"/>
      <c r="AGT49" s="125"/>
      <c r="AGU49" s="125"/>
      <c r="AGV49" s="125"/>
      <c r="AGW49" s="125"/>
      <c r="AGX49" s="125"/>
      <c r="AGY49" s="125"/>
      <c r="AGZ49" s="125"/>
      <c r="AHA49" s="125"/>
      <c r="AHB49" s="125"/>
      <c r="AHC49" s="125"/>
      <c r="AHD49" s="125"/>
      <c r="AHE49" s="125"/>
      <c r="AHF49" s="125"/>
      <c r="AHG49" s="125"/>
      <c r="AHH49" s="125"/>
      <c r="AHI49" s="125"/>
      <c r="AHJ49" s="125"/>
      <c r="AHK49" s="125"/>
      <c r="AHL49" s="125"/>
      <c r="AHM49" s="125"/>
      <c r="AHN49" s="125"/>
      <c r="AHO49" s="125"/>
      <c r="AHP49" s="125"/>
      <c r="AHQ49" s="125"/>
      <c r="AHR49" s="125"/>
      <c r="AHS49" s="125"/>
      <c r="AHT49" s="125"/>
      <c r="AHU49" s="125"/>
      <c r="AHV49" s="125"/>
      <c r="AHW49" s="125"/>
      <c r="AHX49" s="125"/>
      <c r="AHY49" s="125"/>
      <c r="AHZ49" s="125"/>
      <c r="AIA49" s="125"/>
      <c r="AIB49" s="125"/>
      <c r="AIC49" s="125"/>
      <c r="AID49" s="125"/>
      <c r="AIE49" s="125"/>
      <c r="AIF49" s="125"/>
      <c r="AIG49" s="125"/>
      <c r="AIH49" s="125"/>
      <c r="AII49" s="125"/>
      <c r="AIJ49" s="125"/>
      <c r="AIK49" s="125"/>
      <c r="AIL49" s="125"/>
      <c r="AIM49" s="125"/>
      <c r="AIN49" s="125"/>
      <c r="AIO49" s="125"/>
      <c r="AIP49" s="125"/>
      <c r="AIQ49" s="125"/>
      <c r="AIR49" s="125"/>
      <c r="AIS49" s="125"/>
      <c r="AIT49" s="125"/>
      <c r="AIU49" s="125"/>
      <c r="AIV49" s="125"/>
      <c r="AIW49" s="125"/>
      <c r="AIX49" s="125"/>
      <c r="AIY49" s="125"/>
      <c r="AIZ49" s="125"/>
      <c r="AJA49" s="125"/>
      <c r="AJB49" s="125"/>
      <c r="AJC49" s="125"/>
      <c r="AJD49" s="125"/>
      <c r="AJE49" s="125"/>
      <c r="AJF49" s="125"/>
      <c r="AJG49" s="125"/>
      <c r="AJH49" s="125"/>
      <c r="AJI49" s="125"/>
      <c r="AJJ49" s="125"/>
      <c r="AJK49" s="125"/>
      <c r="AJL49" s="125"/>
      <c r="AJM49" s="125"/>
      <c r="AJN49" s="125"/>
      <c r="AJO49" s="125"/>
      <c r="AJP49" s="125"/>
      <c r="AJQ49" s="125"/>
      <c r="AJR49" s="125"/>
      <c r="AJS49" s="125"/>
      <c r="AJT49" s="125"/>
      <c r="AJU49" s="125"/>
      <c r="AJV49" s="125"/>
      <c r="AJW49" s="125"/>
      <c r="AJX49" s="125"/>
      <c r="AJY49" s="125"/>
      <c r="AJZ49" s="125"/>
      <c r="AKA49" s="125"/>
      <c r="AKB49" s="125"/>
      <c r="AKC49" s="125"/>
      <c r="AKD49" s="125"/>
      <c r="AKE49" s="125"/>
      <c r="AKF49" s="125"/>
      <c r="AKG49" s="125"/>
      <c r="AKH49" s="125"/>
      <c r="AKI49" s="125"/>
      <c r="AKJ49" s="125"/>
      <c r="AKK49" s="125"/>
      <c r="AKL49" s="125"/>
      <c r="AKM49" s="125"/>
      <c r="AKN49" s="125"/>
      <c r="AKO49" s="125"/>
      <c r="AKP49" s="125"/>
      <c r="AKQ49" s="125"/>
      <c r="AKR49" s="125"/>
      <c r="AKS49" s="125"/>
      <c r="AKT49" s="125"/>
      <c r="AKU49" s="125"/>
      <c r="AKV49" s="125"/>
      <c r="AKW49" s="125"/>
      <c r="AKX49" s="125"/>
      <c r="AKY49" s="125"/>
      <c r="AKZ49" s="125"/>
      <c r="ALA49" s="125"/>
      <c r="ALB49" s="125"/>
      <c r="ALC49" s="125"/>
      <c r="ALD49" s="125"/>
      <c r="ALE49" s="125"/>
      <c r="ALF49" s="125"/>
      <c r="ALG49" s="125"/>
      <c r="ALH49" s="125"/>
      <c r="ALI49" s="125"/>
      <c r="ALJ49" s="125"/>
      <c r="ALK49" s="125"/>
      <c r="ALL49" s="125"/>
      <c r="ALM49" s="125"/>
      <c r="ALN49" s="125"/>
      <c r="ALO49" s="125"/>
      <c r="ALP49" s="125"/>
      <c r="ALQ49" s="125"/>
      <c r="ALR49" s="125"/>
      <c r="ALS49" s="125"/>
      <c r="ALT49" s="125"/>
      <c r="ALU49" s="125"/>
      <c r="ALV49" s="125"/>
      <c r="ALW49" s="125"/>
      <c r="ALX49" s="125"/>
      <c r="ALY49" s="125"/>
      <c r="ALZ49" s="125"/>
      <c r="AMA49" s="125"/>
      <c r="AMB49" s="125"/>
      <c r="AMC49" s="125"/>
      <c r="AMD49" s="125"/>
      <c r="AME49" s="125"/>
      <c r="AMF49" s="125"/>
      <c r="AMG49" s="125"/>
      <c r="AMH49" s="125"/>
      <c r="AMI49" s="125"/>
      <c r="AMJ49" s="125"/>
      <c r="AMK49" s="125"/>
      <c r="AML49" s="125"/>
      <c r="AMM49" s="125"/>
      <c r="AMN49" s="125"/>
      <c r="AMO49" s="125"/>
      <c r="AMP49" s="125"/>
      <c r="AMQ49" s="125"/>
      <c r="AMR49" s="125"/>
      <c r="AMS49" s="125"/>
      <c r="AMT49" s="125"/>
      <c r="AMU49" s="125"/>
      <c r="AMV49" s="125"/>
      <c r="AMW49" s="125"/>
      <c r="AMX49" s="125"/>
      <c r="AMY49" s="125"/>
      <c r="AMZ49" s="125"/>
      <c r="ANA49" s="125"/>
      <c r="ANB49" s="125"/>
      <c r="ANC49" s="125"/>
      <c r="AND49" s="125"/>
      <c r="ANE49" s="125"/>
      <c r="ANF49" s="125"/>
      <c r="ANG49" s="125"/>
      <c r="ANH49" s="125"/>
      <c r="ANI49" s="125"/>
      <c r="ANJ49" s="125"/>
      <c r="ANK49" s="125"/>
      <c r="ANL49" s="125"/>
      <c r="ANM49" s="125"/>
      <c r="ANN49" s="125"/>
      <c r="ANO49" s="125"/>
      <c r="ANP49" s="125"/>
      <c r="ANQ49" s="125"/>
      <c r="ANR49" s="125"/>
      <c r="ANS49" s="125"/>
      <c r="ANT49" s="125"/>
      <c r="ANU49" s="125"/>
      <c r="ANV49" s="125"/>
      <c r="ANW49" s="125"/>
      <c r="ANX49" s="125"/>
      <c r="ANY49" s="125"/>
      <c r="ANZ49" s="125"/>
      <c r="AOA49" s="125"/>
      <c r="AOB49" s="125"/>
      <c r="AOC49" s="125"/>
      <c r="AOD49" s="125"/>
      <c r="AOE49" s="125"/>
      <c r="AOF49" s="125"/>
      <c r="AOG49" s="125"/>
      <c r="AOH49" s="125"/>
      <c r="AOI49" s="125"/>
      <c r="AOJ49" s="125"/>
      <c r="AOK49" s="125"/>
      <c r="AOL49" s="125"/>
      <c r="AOM49" s="125"/>
      <c r="AON49" s="125"/>
      <c r="AOO49" s="125"/>
      <c r="AOP49" s="125"/>
      <c r="AOQ49" s="125"/>
      <c r="AOR49" s="125"/>
      <c r="AOS49" s="125"/>
      <c r="AOT49" s="125"/>
      <c r="AOU49" s="125"/>
      <c r="AOV49" s="125"/>
      <c r="AOW49" s="125"/>
      <c r="AOX49" s="125"/>
      <c r="AOY49" s="125"/>
      <c r="AOZ49" s="125"/>
      <c r="APA49" s="125"/>
      <c r="APB49" s="125"/>
      <c r="APC49" s="125"/>
      <c r="APD49" s="125"/>
      <c r="APE49" s="125"/>
      <c r="APF49" s="125"/>
      <c r="APG49" s="125"/>
      <c r="APH49" s="125"/>
      <c r="API49" s="125"/>
      <c r="APJ49" s="125"/>
      <c r="APK49" s="125"/>
      <c r="APL49" s="125"/>
      <c r="APM49" s="125"/>
      <c r="APN49" s="125"/>
      <c r="APO49" s="125"/>
      <c r="APP49" s="125"/>
      <c r="APQ49" s="125"/>
      <c r="APR49" s="125"/>
      <c r="APS49" s="125"/>
      <c r="APT49" s="125"/>
      <c r="APU49" s="125"/>
      <c r="APV49" s="125"/>
      <c r="APW49" s="125"/>
      <c r="APX49" s="125"/>
      <c r="APY49" s="125"/>
      <c r="APZ49" s="125"/>
      <c r="AQA49" s="125"/>
      <c r="AQB49" s="125"/>
      <c r="AQC49" s="125"/>
      <c r="AQD49" s="125"/>
      <c r="AQE49" s="125"/>
      <c r="AQF49" s="125"/>
      <c r="AQG49" s="125"/>
      <c r="AQH49" s="125"/>
      <c r="AQI49" s="125"/>
      <c r="AQJ49" s="125"/>
      <c r="AQK49" s="125"/>
      <c r="AQL49" s="125"/>
      <c r="AQM49" s="125"/>
      <c r="AQN49" s="125"/>
      <c r="AQO49" s="125"/>
      <c r="AQP49" s="125"/>
      <c r="AQQ49" s="125"/>
      <c r="AQR49" s="125"/>
      <c r="AQS49" s="125"/>
      <c r="AQT49" s="125"/>
      <c r="AQU49" s="125"/>
      <c r="AQV49" s="125"/>
      <c r="AQW49" s="125"/>
      <c r="AQX49" s="125"/>
      <c r="AQY49" s="125"/>
      <c r="AQZ49" s="125"/>
      <c r="ARA49" s="125"/>
      <c r="ARB49" s="125"/>
      <c r="ARC49" s="125"/>
      <c r="ARD49" s="125"/>
      <c r="ARE49" s="125"/>
      <c r="ARF49" s="125"/>
      <c r="ARG49" s="125"/>
      <c r="ARH49" s="125"/>
      <c r="ARI49" s="125"/>
      <c r="ARJ49" s="125"/>
      <c r="ARK49" s="125"/>
      <c r="ARL49" s="125"/>
      <c r="ARM49" s="125"/>
      <c r="ARN49" s="125"/>
      <c r="ARO49" s="125"/>
      <c r="ARP49" s="125"/>
      <c r="ARQ49" s="125"/>
      <c r="ARR49" s="125"/>
      <c r="ARS49" s="125"/>
      <c r="ART49" s="125"/>
      <c r="ARU49" s="125"/>
      <c r="ARV49" s="125"/>
      <c r="ARW49" s="125"/>
      <c r="ARX49" s="125"/>
      <c r="ARY49" s="125"/>
      <c r="ARZ49" s="125"/>
      <c r="ASA49" s="125"/>
      <c r="ASB49" s="125"/>
      <c r="ASC49" s="125"/>
      <c r="ASD49" s="125"/>
      <c r="ASE49" s="125"/>
      <c r="ASF49" s="125"/>
      <c r="ASG49" s="125"/>
      <c r="ASH49" s="125"/>
      <c r="ASI49" s="125"/>
      <c r="ASJ49" s="125"/>
      <c r="ASK49" s="125"/>
      <c r="ASL49" s="125"/>
      <c r="ASM49" s="125"/>
      <c r="ASN49" s="125"/>
      <c r="ASO49" s="125"/>
      <c r="ASP49" s="125"/>
      <c r="ASQ49" s="125"/>
      <c r="ASR49" s="125"/>
      <c r="ASS49" s="125"/>
      <c r="AST49" s="125"/>
      <c r="ASU49" s="125"/>
      <c r="ASV49" s="125"/>
      <c r="ASW49" s="125"/>
      <c r="ASX49" s="125"/>
      <c r="ASY49" s="125"/>
      <c r="ASZ49" s="125"/>
      <c r="ATA49" s="125"/>
      <c r="ATB49" s="125"/>
      <c r="ATC49" s="125"/>
      <c r="ATD49" s="125"/>
      <c r="ATE49" s="125"/>
      <c r="ATF49" s="125"/>
      <c r="ATG49" s="125"/>
      <c r="ATH49" s="125"/>
      <c r="ATI49" s="125"/>
      <c r="ATJ49" s="125"/>
      <c r="ATK49" s="125"/>
      <c r="ATL49" s="125"/>
      <c r="ATM49" s="125"/>
      <c r="ATN49" s="125"/>
      <c r="ATO49" s="125"/>
      <c r="ATP49" s="125"/>
      <c r="ATQ49" s="125"/>
      <c r="ATR49" s="125"/>
      <c r="ATS49" s="125"/>
      <c r="ATT49" s="125"/>
      <c r="ATU49" s="125"/>
      <c r="ATV49" s="125"/>
      <c r="ATW49" s="125"/>
      <c r="ATX49" s="125"/>
      <c r="ATY49" s="125"/>
      <c r="ATZ49" s="125"/>
      <c r="AUA49" s="125"/>
      <c r="AUB49" s="125"/>
      <c r="AUC49" s="125"/>
      <c r="AUD49" s="125"/>
      <c r="AUE49" s="125"/>
      <c r="AUF49" s="125"/>
      <c r="AUG49" s="125"/>
      <c r="AUH49" s="125"/>
      <c r="AUI49" s="125"/>
      <c r="AUJ49" s="125"/>
      <c r="AUK49" s="125"/>
      <c r="AUL49" s="125"/>
      <c r="AUM49" s="125"/>
      <c r="AUN49" s="125"/>
      <c r="AUO49" s="125"/>
      <c r="AUP49" s="125"/>
      <c r="AUQ49" s="125"/>
      <c r="AUR49" s="125"/>
      <c r="AUS49" s="125"/>
      <c r="AUT49" s="125"/>
      <c r="AUU49" s="125"/>
      <c r="AUV49" s="125"/>
      <c r="AUW49" s="125"/>
      <c r="AUX49" s="125"/>
      <c r="AUY49" s="125"/>
      <c r="AUZ49" s="125"/>
      <c r="AVA49" s="125"/>
      <c r="AVB49" s="125"/>
      <c r="AVC49" s="125"/>
      <c r="AVD49" s="125"/>
      <c r="AVE49" s="125"/>
      <c r="AVF49" s="125"/>
      <c r="AVG49" s="125"/>
      <c r="AVH49" s="125"/>
      <c r="AVI49" s="125"/>
      <c r="AVJ49" s="125"/>
      <c r="AVK49" s="125"/>
      <c r="AVL49" s="125"/>
      <c r="AVM49" s="125"/>
      <c r="AVN49" s="125"/>
      <c r="AVO49" s="125"/>
      <c r="AVP49" s="125"/>
      <c r="AVQ49" s="125"/>
      <c r="AVR49" s="125"/>
      <c r="AVS49" s="125"/>
      <c r="AVT49" s="125"/>
      <c r="AVU49" s="125"/>
      <c r="AVV49" s="125"/>
      <c r="AVW49" s="125"/>
      <c r="AVX49" s="125"/>
      <c r="AVY49" s="125"/>
      <c r="AVZ49" s="125"/>
      <c r="AWA49" s="125"/>
      <c r="AWB49" s="125"/>
      <c r="AWC49" s="125"/>
      <c r="AWD49" s="125"/>
      <c r="AWE49" s="125"/>
      <c r="AWF49" s="125"/>
      <c r="AWG49" s="125"/>
      <c r="AWH49" s="125"/>
      <c r="AWI49" s="125"/>
      <c r="AWJ49" s="125"/>
      <c r="AWK49" s="125"/>
      <c r="AWL49" s="125"/>
      <c r="AWM49" s="125"/>
      <c r="AWN49" s="125"/>
      <c r="AWO49" s="125"/>
      <c r="AWP49" s="125"/>
      <c r="AWQ49" s="125"/>
      <c r="AWR49" s="125"/>
      <c r="AWS49" s="125"/>
      <c r="AWT49" s="125"/>
      <c r="AWU49" s="125"/>
      <c r="AWV49" s="125"/>
      <c r="AWW49" s="125"/>
      <c r="AWX49" s="125"/>
      <c r="AWY49" s="125"/>
      <c r="AWZ49" s="125"/>
      <c r="AXA49" s="125"/>
      <c r="AXB49" s="125"/>
      <c r="AXC49" s="125"/>
      <c r="AXD49" s="125"/>
      <c r="AXE49" s="125"/>
      <c r="AXF49" s="125"/>
      <c r="AXG49" s="125"/>
      <c r="AXH49" s="125"/>
      <c r="AXI49" s="125"/>
      <c r="AXJ49" s="125"/>
      <c r="AXK49" s="125"/>
      <c r="AXL49" s="125"/>
      <c r="AXM49" s="125"/>
      <c r="AXN49" s="125"/>
      <c r="AXO49" s="125"/>
      <c r="AXP49" s="125"/>
      <c r="AXQ49" s="125"/>
      <c r="AXR49" s="125"/>
      <c r="AXS49" s="125"/>
      <c r="AXT49" s="125"/>
      <c r="AXU49" s="125"/>
      <c r="AXV49" s="125"/>
      <c r="AXW49" s="125"/>
      <c r="AXX49" s="125"/>
      <c r="AXY49" s="125"/>
      <c r="AXZ49" s="125"/>
      <c r="AYA49" s="125"/>
      <c r="AYB49" s="125"/>
      <c r="AYC49" s="125"/>
      <c r="AYD49" s="125"/>
      <c r="AYE49" s="125"/>
      <c r="AYF49" s="125"/>
      <c r="AYG49" s="125"/>
      <c r="AYH49" s="125"/>
      <c r="AYI49" s="125"/>
      <c r="AYJ49" s="125"/>
      <c r="AYK49" s="125"/>
      <c r="AYL49" s="125"/>
      <c r="AYM49" s="125"/>
      <c r="AYN49" s="125"/>
      <c r="AYO49" s="125"/>
      <c r="AYP49" s="125"/>
      <c r="AYQ49" s="125"/>
      <c r="AYR49" s="125"/>
      <c r="AYS49" s="125"/>
      <c r="AYT49" s="125"/>
      <c r="AYU49" s="125"/>
      <c r="AYV49" s="125"/>
      <c r="AYW49" s="125"/>
      <c r="AYX49" s="125"/>
      <c r="AYY49" s="125"/>
      <c r="AYZ49" s="125"/>
      <c r="AZA49" s="125"/>
      <c r="AZB49" s="125"/>
      <c r="AZC49" s="125"/>
      <c r="AZD49" s="125"/>
      <c r="AZE49" s="125"/>
      <c r="AZF49" s="125"/>
      <c r="AZG49" s="125"/>
      <c r="AZH49" s="125"/>
      <c r="AZI49" s="125"/>
      <c r="AZJ49" s="125"/>
      <c r="AZK49" s="125"/>
      <c r="AZL49" s="125"/>
      <c r="AZM49" s="125"/>
      <c r="AZN49" s="125"/>
      <c r="AZO49" s="125"/>
      <c r="AZP49" s="125"/>
      <c r="AZQ49" s="125"/>
      <c r="AZR49" s="125"/>
      <c r="AZS49" s="125"/>
      <c r="AZT49" s="125"/>
      <c r="AZU49" s="125"/>
      <c r="AZV49" s="125"/>
      <c r="AZW49" s="125"/>
      <c r="AZX49" s="125"/>
      <c r="AZY49" s="125"/>
      <c r="AZZ49" s="125"/>
      <c r="BAA49" s="125"/>
      <c r="BAB49" s="125"/>
      <c r="BAC49" s="125"/>
      <c r="BAD49" s="125"/>
      <c r="BAE49" s="125"/>
      <c r="BAF49" s="125"/>
      <c r="BAG49" s="125"/>
      <c r="BAH49" s="125"/>
      <c r="BAI49" s="125"/>
      <c r="BAJ49" s="125"/>
      <c r="BAK49" s="125"/>
      <c r="BAL49" s="125"/>
      <c r="BAM49" s="125"/>
      <c r="BAN49" s="125"/>
      <c r="BAO49" s="125"/>
      <c r="BAP49" s="125"/>
      <c r="BAQ49" s="125"/>
      <c r="BAR49" s="125"/>
      <c r="BAS49" s="125"/>
      <c r="BAT49" s="125"/>
      <c r="BAU49" s="125"/>
      <c r="BAV49" s="125"/>
      <c r="BAW49" s="125"/>
      <c r="BAX49" s="125"/>
      <c r="BAY49" s="125"/>
      <c r="BAZ49" s="125"/>
      <c r="BBA49" s="125"/>
      <c r="BBB49" s="125"/>
      <c r="BBC49" s="125"/>
      <c r="BBD49" s="125"/>
      <c r="BBE49" s="125"/>
      <c r="BBF49" s="125"/>
      <c r="BBG49" s="125"/>
      <c r="BBH49" s="125"/>
      <c r="BBI49" s="125"/>
      <c r="BBJ49" s="125"/>
      <c r="BBK49" s="125"/>
      <c r="BBL49" s="125"/>
      <c r="BBM49" s="125"/>
      <c r="BBN49" s="125"/>
      <c r="BBO49" s="125"/>
      <c r="BBP49" s="125"/>
      <c r="BBQ49" s="125"/>
      <c r="BBR49" s="125"/>
      <c r="BBS49" s="125"/>
      <c r="BBT49" s="125"/>
      <c r="BBU49" s="125"/>
      <c r="BBV49" s="125"/>
      <c r="BBW49" s="125"/>
      <c r="BBX49" s="125"/>
      <c r="BBY49" s="125"/>
      <c r="BBZ49" s="125"/>
      <c r="BCA49" s="125"/>
      <c r="BCB49" s="125"/>
      <c r="BCC49" s="125"/>
      <c r="BCD49" s="125"/>
      <c r="BCE49" s="125"/>
      <c r="BCF49" s="125"/>
      <c r="BCG49" s="125"/>
      <c r="BCH49" s="125"/>
      <c r="BCI49" s="125"/>
      <c r="BCJ49" s="125"/>
      <c r="BCK49" s="125"/>
      <c r="BCL49" s="125"/>
      <c r="BCM49" s="125"/>
      <c r="BCN49" s="125"/>
      <c r="BCO49" s="125"/>
      <c r="BCP49" s="125"/>
      <c r="BCQ49" s="125"/>
      <c r="BCR49" s="125"/>
      <c r="BCS49" s="125"/>
      <c r="BCT49" s="125"/>
      <c r="BCU49" s="125"/>
      <c r="BCV49" s="125"/>
      <c r="BCW49" s="125"/>
      <c r="BCX49" s="125"/>
      <c r="BCY49" s="125"/>
      <c r="BCZ49" s="125"/>
      <c r="BDA49" s="125"/>
      <c r="BDB49" s="125"/>
      <c r="BDC49" s="125"/>
      <c r="BDD49" s="125"/>
      <c r="BDE49" s="125"/>
      <c r="BDF49" s="125"/>
      <c r="BDG49" s="125"/>
      <c r="BDH49" s="125"/>
      <c r="BDI49" s="125"/>
      <c r="BDJ49" s="125"/>
      <c r="BDK49" s="125"/>
      <c r="BDL49" s="125"/>
      <c r="BDM49" s="125"/>
      <c r="BDN49" s="125"/>
      <c r="BDO49" s="125"/>
      <c r="BDP49" s="125"/>
      <c r="BDQ49" s="125"/>
      <c r="BDR49" s="125"/>
      <c r="BDS49" s="125"/>
      <c r="BDT49" s="125"/>
      <c r="BDU49" s="125"/>
      <c r="BDV49" s="125"/>
      <c r="BDW49" s="125"/>
      <c r="BDX49" s="125"/>
      <c r="BDY49" s="125"/>
      <c r="BDZ49" s="125"/>
      <c r="BEA49" s="125"/>
      <c r="BEB49" s="125"/>
      <c r="BEC49" s="125"/>
      <c r="BED49" s="125"/>
      <c r="BEE49" s="125"/>
      <c r="BEF49" s="125"/>
      <c r="BEG49" s="125"/>
      <c r="BEH49" s="125"/>
      <c r="BEI49" s="125"/>
      <c r="BEJ49" s="125"/>
      <c r="BEK49" s="125"/>
      <c r="BEL49" s="125"/>
      <c r="BEM49" s="125"/>
      <c r="BEN49" s="125"/>
      <c r="BEO49" s="125"/>
      <c r="BEP49" s="125"/>
      <c r="BEQ49" s="125"/>
      <c r="BER49" s="125"/>
      <c r="BES49" s="125"/>
      <c r="BET49" s="125"/>
      <c r="BEU49" s="125"/>
      <c r="BEV49" s="125"/>
      <c r="BEW49" s="125"/>
      <c r="BEX49" s="125"/>
      <c r="BEY49" s="125"/>
      <c r="BEZ49" s="125"/>
      <c r="BFA49" s="125"/>
      <c r="BFB49" s="125"/>
      <c r="BFC49" s="125"/>
      <c r="BFD49" s="125"/>
      <c r="BFE49" s="125"/>
      <c r="BFF49" s="125"/>
      <c r="BFG49" s="125"/>
      <c r="BFH49" s="125"/>
      <c r="BFI49" s="125"/>
      <c r="BFJ49" s="125"/>
      <c r="BFK49" s="125"/>
      <c r="BFL49" s="125"/>
      <c r="BFM49" s="125"/>
      <c r="BFN49" s="125"/>
      <c r="BFO49" s="125"/>
      <c r="BFP49" s="125"/>
      <c r="BFQ49" s="125"/>
      <c r="BFR49" s="125"/>
      <c r="BFS49" s="125"/>
      <c r="BFT49" s="125"/>
      <c r="BFU49" s="125"/>
      <c r="BFV49" s="125"/>
      <c r="BFW49" s="125"/>
      <c r="BFX49" s="125"/>
      <c r="BFY49" s="125"/>
      <c r="BFZ49" s="125"/>
      <c r="BGA49" s="125"/>
      <c r="BGB49" s="125"/>
      <c r="BGC49" s="125"/>
      <c r="BGD49" s="125"/>
      <c r="BGE49" s="125"/>
      <c r="BGF49" s="125"/>
      <c r="BGG49" s="125"/>
      <c r="BGH49" s="125"/>
      <c r="BGI49" s="125"/>
      <c r="BGJ49" s="125"/>
      <c r="BGK49" s="125"/>
      <c r="BGL49" s="125"/>
      <c r="BGM49" s="125"/>
      <c r="BGN49" s="125"/>
      <c r="BGO49" s="125"/>
      <c r="BGP49" s="125"/>
      <c r="BGQ49" s="125"/>
      <c r="BGR49" s="125"/>
      <c r="BGS49" s="125"/>
      <c r="BGT49" s="125"/>
      <c r="BGU49" s="125"/>
      <c r="BGV49" s="125"/>
      <c r="BGW49" s="125"/>
      <c r="BGX49" s="125"/>
      <c r="BGY49" s="125"/>
      <c r="BGZ49" s="125"/>
      <c r="BHA49" s="125"/>
      <c r="BHB49" s="125"/>
      <c r="BHC49" s="125"/>
      <c r="BHD49" s="125"/>
      <c r="BHE49" s="125"/>
      <c r="BHF49" s="125"/>
      <c r="BHG49" s="125"/>
      <c r="BHH49" s="125"/>
      <c r="BHI49" s="125"/>
      <c r="BHJ49" s="125"/>
      <c r="BHK49" s="125"/>
      <c r="BHL49" s="125"/>
      <c r="BHM49" s="125"/>
      <c r="BHN49" s="125"/>
      <c r="BHO49" s="125"/>
      <c r="BHP49" s="125"/>
      <c r="BHQ49" s="125"/>
      <c r="BHR49" s="125"/>
      <c r="BHS49" s="125"/>
      <c r="BHT49" s="125"/>
      <c r="BHU49" s="125"/>
      <c r="BHV49" s="125"/>
      <c r="BHW49" s="125"/>
      <c r="BHX49" s="125"/>
      <c r="BHY49" s="125"/>
      <c r="BHZ49" s="125"/>
      <c r="BIA49" s="125"/>
      <c r="BIB49" s="125"/>
      <c r="BIC49" s="125"/>
      <c r="BID49" s="125"/>
      <c r="BIE49" s="125"/>
      <c r="BIF49" s="125"/>
      <c r="BIG49" s="125"/>
      <c r="BIH49" s="125"/>
      <c r="BII49" s="125"/>
      <c r="BIJ49" s="125"/>
      <c r="BIK49" s="125"/>
      <c r="BIL49" s="125"/>
      <c r="BIM49" s="125"/>
      <c r="BIN49" s="125"/>
      <c r="BIO49" s="125"/>
      <c r="BIP49" s="125"/>
      <c r="BIQ49" s="125"/>
      <c r="BIR49" s="125"/>
      <c r="BIS49" s="125"/>
      <c r="BIT49" s="125"/>
      <c r="BIU49" s="125"/>
      <c r="BIV49" s="125"/>
      <c r="BIW49" s="125"/>
      <c r="BIX49" s="125"/>
      <c r="BIY49" s="125"/>
      <c r="BIZ49" s="125"/>
      <c r="BJA49" s="125"/>
      <c r="BJB49" s="125"/>
      <c r="BJC49" s="125"/>
      <c r="BJD49" s="125"/>
      <c r="BJE49" s="125"/>
      <c r="BJF49" s="125"/>
      <c r="BJG49" s="125"/>
      <c r="BJH49" s="125"/>
      <c r="BJI49" s="125"/>
      <c r="BJJ49" s="125"/>
      <c r="BJK49" s="125"/>
      <c r="BJL49" s="125"/>
      <c r="BJM49" s="125"/>
      <c r="BJN49" s="125"/>
      <c r="BJO49" s="125"/>
      <c r="BJP49" s="125"/>
      <c r="BJQ49" s="125"/>
      <c r="BJR49" s="125"/>
      <c r="BJS49" s="125"/>
      <c r="BJT49" s="125"/>
      <c r="BJU49" s="125"/>
      <c r="BJV49" s="125"/>
      <c r="BJW49" s="125"/>
      <c r="BJX49" s="125"/>
      <c r="BJY49" s="125"/>
      <c r="BJZ49" s="125"/>
      <c r="BKA49" s="125"/>
      <c r="BKB49" s="125"/>
      <c r="BKC49" s="125"/>
      <c r="BKD49" s="125"/>
      <c r="BKE49" s="125"/>
      <c r="BKF49" s="125"/>
      <c r="BKG49" s="125"/>
      <c r="BKH49" s="125"/>
      <c r="BKI49" s="125"/>
      <c r="BKJ49" s="125"/>
      <c r="BKK49" s="125"/>
      <c r="BKL49" s="125"/>
      <c r="BKM49" s="125"/>
      <c r="BKN49" s="125"/>
      <c r="BKO49" s="125"/>
      <c r="BKP49" s="125"/>
      <c r="BKQ49" s="125"/>
      <c r="BKR49" s="125"/>
      <c r="BKS49" s="125"/>
      <c r="BKT49" s="125"/>
      <c r="BKU49" s="125"/>
      <c r="BKV49" s="125"/>
      <c r="BKW49" s="125"/>
      <c r="BKX49" s="125"/>
      <c r="BKY49" s="125"/>
      <c r="BKZ49" s="125"/>
      <c r="BLA49" s="125"/>
      <c r="BLB49" s="125"/>
      <c r="BLC49" s="125"/>
      <c r="BLD49" s="125"/>
      <c r="BLE49" s="125"/>
      <c r="BLF49" s="125"/>
      <c r="BLG49" s="125"/>
      <c r="BLH49" s="125"/>
      <c r="BLI49" s="125"/>
      <c r="BLJ49" s="125"/>
      <c r="BLK49" s="125"/>
      <c r="BLL49" s="125"/>
      <c r="BLM49" s="125"/>
      <c r="BLN49" s="125"/>
      <c r="BLO49" s="125"/>
      <c r="BLP49" s="125"/>
      <c r="BLQ49" s="125"/>
      <c r="BLR49" s="125"/>
      <c r="BLS49" s="125"/>
      <c r="BLT49" s="125"/>
      <c r="BLU49" s="125"/>
      <c r="BLV49" s="125"/>
      <c r="BLW49" s="125"/>
      <c r="BLX49" s="125"/>
      <c r="BLY49" s="125"/>
      <c r="BLZ49" s="125"/>
      <c r="BMA49" s="125"/>
      <c r="BMB49" s="125"/>
      <c r="BMC49" s="125"/>
      <c r="BMD49" s="125"/>
      <c r="BME49" s="125"/>
      <c r="BMF49" s="125"/>
      <c r="BMG49" s="125"/>
      <c r="BMH49" s="125"/>
      <c r="BMI49" s="125"/>
      <c r="BMJ49" s="125"/>
      <c r="BMK49" s="125"/>
      <c r="BML49" s="125"/>
      <c r="BMM49" s="125"/>
      <c r="BMN49" s="125"/>
      <c r="BMO49" s="125"/>
      <c r="BMP49" s="125"/>
      <c r="BMQ49" s="125"/>
      <c r="BMR49" s="125"/>
      <c r="BMS49" s="125"/>
      <c r="BMT49" s="125"/>
      <c r="BMU49" s="125"/>
      <c r="BMV49" s="125"/>
      <c r="BMW49" s="125"/>
      <c r="BMX49" s="125"/>
      <c r="BMY49" s="125"/>
      <c r="BMZ49" s="125"/>
      <c r="BNA49" s="125"/>
      <c r="BNB49" s="125"/>
      <c r="BNC49" s="125"/>
      <c r="BND49" s="125"/>
      <c r="BNE49" s="125"/>
      <c r="BNF49" s="125"/>
      <c r="BNG49" s="125"/>
      <c r="BNH49" s="125"/>
      <c r="BNI49" s="125"/>
      <c r="BNJ49" s="125"/>
      <c r="BNK49" s="125"/>
      <c r="BNL49" s="125"/>
      <c r="BNM49" s="125"/>
      <c r="BNN49" s="125"/>
      <c r="BNO49" s="125"/>
      <c r="BNP49" s="125"/>
      <c r="BNQ49" s="125"/>
      <c r="BNR49" s="125"/>
      <c r="BNS49" s="125"/>
      <c r="BNT49" s="125"/>
      <c r="BNU49" s="125"/>
      <c r="BNV49" s="125"/>
    </row>
    <row r="50" spans="1:1738" x14ac:dyDescent="0.25">
      <c r="A50" s="140" t="s">
        <v>51</v>
      </c>
      <c r="B50" s="15" t="s">
        <v>43</v>
      </c>
      <c r="C50" s="118">
        <v>45</v>
      </c>
      <c r="D50" s="473">
        <v>32.700000000000003</v>
      </c>
      <c r="E50" s="299">
        <v>106</v>
      </c>
      <c r="F50" s="431">
        <v>1.8867924528301886E-2</v>
      </c>
      <c r="G50" s="243">
        <v>0.183</v>
      </c>
      <c r="H50" s="23">
        <v>0.4133</v>
      </c>
      <c r="I50" s="283">
        <v>5.3</v>
      </c>
      <c r="J50" s="244">
        <v>0.47019867549668876</v>
      </c>
      <c r="K50" s="244">
        <v>0.49006622516556292</v>
      </c>
      <c r="L50" s="246">
        <v>28</v>
      </c>
      <c r="M50" s="251">
        <v>0.76452599388379194</v>
      </c>
      <c r="N50" s="440">
        <v>4</v>
      </c>
      <c r="O50" s="440">
        <v>4</v>
      </c>
      <c r="P50" s="440">
        <v>0</v>
      </c>
      <c r="Q50" s="39"/>
      <c r="R50" s="140" t="s">
        <v>51</v>
      </c>
    </row>
    <row r="51" spans="1:1738" x14ac:dyDescent="0.25">
      <c r="A51" s="140" t="s">
        <v>48</v>
      </c>
      <c r="B51" s="15" t="s">
        <v>43</v>
      </c>
      <c r="C51" s="118">
        <v>56</v>
      </c>
      <c r="D51" s="473">
        <v>41.55</v>
      </c>
      <c r="E51" s="299">
        <v>198</v>
      </c>
      <c r="F51" s="431">
        <v>8.5858585858585856E-2</v>
      </c>
      <c r="G51" s="243">
        <v>0.42499999999999999</v>
      </c>
      <c r="H51" s="23">
        <v>0.25330000000000003</v>
      </c>
      <c r="I51" s="283">
        <v>4.8</v>
      </c>
      <c r="J51" s="244">
        <v>0.16184971098265896</v>
      </c>
      <c r="K51" s="244">
        <v>0.83815028901734101</v>
      </c>
      <c r="L51" s="246">
        <v>33</v>
      </c>
      <c r="M51" s="251">
        <v>0.69795427196149218</v>
      </c>
      <c r="N51" s="440">
        <v>5</v>
      </c>
      <c r="O51" s="440">
        <v>2</v>
      </c>
      <c r="P51" s="440">
        <v>3</v>
      </c>
      <c r="Q51" s="39"/>
      <c r="R51" s="140" t="s">
        <v>48</v>
      </c>
    </row>
    <row r="52" spans="1:1738" x14ac:dyDescent="0.25">
      <c r="A52" s="140" t="s">
        <v>46</v>
      </c>
      <c r="B52" s="15" t="s">
        <v>43</v>
      </c>
      <c r="C52" s="118">
        <v>83</v>
      </c>
      <c r="D52" s="473">
        <v>13.2</v>
      </c>
      <c r="E52" s="300">
        <v>45</v>
      </c>
      <c r="F52" s="431">
        <v>2.2222222222222223E-2</v>
      </c>
      <c r="G52" s="243">
        <v>0.12</v>
      </c>
      <c r="H52" s="14">
        <v>0.6</v>
      </c>
      <c r="I52" s="283">
        <v>4</v>
      </c>
      <c r="J52" s="244">
        <v>0.36363636363636365</v>
      </c>
      <c r="K52" s="244">
        <v>0.63636363636363635</v>
      </c>
      <c r="L52" s="245">
        <v>10</v>
      </c>
      <c r="M52" s="251">
        <v>0.60606060606060608</v>
      </c>
      <c r="N52" s="440">
        <v>3</v>
      </c>
      <c r="O52" s="440">
        <v>1</v>
      </c>
      <c r="P52" s="440">
        <v>2</v>
      </c>
      <c r="Q52" s="39"/>
      <c r="R52" s="140" t="s">
        <v>46</v>
      </c>
    </row>
    <row r="53" spans="1:1738" ht="26.25" x14ac:dyDescent="0.25">
      <c r="A53" s="428" t="s">
        <v>318</v>
      </c>
      <c r="B53" s="71" t="s">
        <v>43</v>
      </c>
      <c r="C53" s="119" t="s">
        <v>315</v>
      </c>
      <c r="D53" s="477">
        <v>26.08</v>
      </c>
      <c r="E53" s="383">
        <v>127</v>
      </c>
      <c r="F53" s="432">
        <v>0.14173228346456693</v>
      </c>
      <c r="G53" s="286">
        <v>0.25929999999999997</v>
      </c>
      <c r="H53" s="282">
        <v>0.34129999999999999</v>
      </c>
      <c r="I53" s="430">
        <v>4.25</v>
      </c>
      <c r="J53" s="380">
        <v>0.34761904761904761</v>
      </c>
      <c r="K53" s="380">
        <v>0.61904761904761907</v>
      </c>
      <c r="L53" s="385">
        <v>23</v>
      </c>
      <c r="M53" s="382">
        <v>0.65184049079754602</v>
      </c>
      <c r="N53" s="452">
        <v>5</v>
      </c>
      <c r="O53" s="452">
        <v>1</v>
      </c>
      <c r="P53" s="452">
        <v>4</v>
      </c>
      <c r="Q53" s="39"/>
      <c r="R53" s="428" t="s">
        <v>318</v>
      </c>
    </row>
    <row r="54" spans="1:1738" s="682" customFormat="1" x14ac:dyDescent="0.25">
      <c r="A54" s="9" t="s">
        <v>72</v>
      </c>
      <c r="B54" s="15" t="s">
        <v>52</v>
      </c>
      <c r="C54" s="72">
        <v>341</v>
      </c>
      <c r="D54" s="473">
        <v>24.9</v>
      </c>
      <c r="E54" s="300">
        <v>21</v>
      </c>
      <c r="F54" s="431">
        <v>0.23809523809523808</v>
      </c>
      <c r="G54" s="287">
        <v>0.377</v>
      </c>
      <c r="H54" s="14">
        <v>0.4783</v>
      </c>
      <c r="I54" s="285">
        <v>4.8</v>
      </c>
      <c r="J54" s="64">
        <v>0.5</v>
      </c>
      <c r="K54" s="64">
        <v>0.5</v>
      </c>
      <c r="L54" s="245">
        <v>0</v>
      </c>
      <c r="M54" s="708">
        <v>0</v>
      </c>
      <c r="N54" s="452">
        <v>1</v>
      </c>
      <c r="O54" s="452">
        <v>5</v>
      </c>
      <c r="P54" s="452">
        <v>-4</v>
      </c>
      <c r="Q54" s="707"/>
      <c r="R54" s="9" t="s">
        <v>72</v>
      </c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4"/>
      <c r="BW54" s="254"/>
      <c r="BX54" s="254"/>
      <c r="BY54" s="254"/>
      <c r="BZ54" s="254"/>
      <c r="CA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254"/>
      <c r="DZ54" s="254"/>
      <c r="EA54" s="254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4"/>
      <c r="EU54" s="254"/>
      <c r="EV54" s="254"/>
      <c r="EW54" s="254"/>
      <c r="EX54" s="254"/>
      <c r="EY54" s="254"/>
      <c r="EZ54" s="254"/>
      <c r="FA54" s="254"/>
      <c r="FB54" s="254"/>
      <c r="FC54" s="254"/>
      <c r="FD54" s="254"/>
      <c r="FE54" s="254"/>
      <c r="FF54" s="254"/>
      <c r="FG54" s="254"/>
      <c r="FH54" s="254"/>
      <c r="FI54" s="254"/>
      <c r="FJ54" s="254"/>
      <c r="FK54" s="254"/>
      <c r="FL54" s="254"/>
      <c r="FM54" s="254"/>
      <c r="FN54" s="254"/>
      <c r="FO54" s="254"/>
      <c r="FP54" s="254"/>
      <c r="FQ54" s="254"/>
      <c r="FR54" s="254"/>
      <c r="FS54" s="254"/>
      <c r="FT54" s="254"/>
      <c r="FU54" s="254"/>
      <c r="FV54" s="254"/>
      <c r="FW54" s="254"/>
      <c r="FX54" s="254"/>
      <c r="FY54" s="254"/>
      <c r="FZ54" s="254"/>
      <c r="GA54" s="254"/>
      <c r="GB54" s="254"/>
      <c r="GC54" s="254"/>
      <c r="GD54" s="254"/>
      <c r="GE54" s="254"/>
      <c r="GF54" s="254"/>
      <c r="GG54" s="254"/>
      <c r="GH54" s="254"/>
      <c r="GI54" s="254"/>
      <c r="GJ54" s="254"/>
      <c r="GK54" s="254"/>
      <c r="GL54" s="254"/>
      <c r="GM54" s="254"/>
      <c r="GN54" s="254"/>
      <c r="GO54" s="254"/>
      <c r="GP54" s="254"/>
      <c r="GQ54" s="254"/>
      <c r="GR54" s="254"/>
      <c r="GS54" s="254"/>
      <c r="GT54" s="254"/>
      <c r="GU54" s="254"/>
      <c r="GV54" s="254"/>
      <c r="GW54" s="254"/>
      <c r="GX54" s="254"/>
      <c r="GY54" s="254"/>
      <c r="GZ54" s="254"/>
      <c r="HA54" s="254"/>
      <c r="HB54" s="254"/>
      <c r="HC54" s="254"/>
      <c r="HD54" s="254"/>
      <c r="HE54" s="254"/>
      <c r="HF54" s="254"/>
      <c r="HG54" s="254"/>
      <c r="HH54" s="254"/>
      <c r="HI54" s="254"/>
      <c r="HJ54" s="254"/>
      <c r="HK54" s="254"/>
      <c r="HL54" s="254"/>
      <c r="HM54" s="254"/>
      <c r="HN54" s="254"/>
      <c r="HO54" s="254"/>
      <c r="HP54" s="254"/>
      <c r="HQ54" s="254"/>
      <c r="HR54" s="254"/>
      <c r="HS54" s="254"/>
      <c r="HT54" s="254"/>
      <c r="HU54" s="254"/>
      <c r="HV54" s="254"/>
      <c r="HW54" s="254"/>
      <c r="HX54" s="254"/>
      <c r="HY54" s="254"/>
      <c r="HZ54" s="254"/>
      <c r="IA54" s="254"/>
      <c r="IB54" s="254"/>
      <c r="IC54" s="254"/>
      <c r="ID54" s="254"/>
      <c r="IE54" s="254"/>
      <c r="IF54" s="254"/>
      <c r="IG54" s="254"/>
      <c r="IH54" s="254"/>
      <c r="II54" s="254"/>
      <c r="IJ54" s="254"/>
      <c r="IK54" s="254"/>
      <c r="IL54" s="254"/>
      <c r="IM54" s="254"/>
      <c r="IN54" s="254"/>
      <c r="IO54" s="254"/>
      <c r="IP54" s="254"/>
      <c r="IQ54" s="254"/>
      <c r="IR54" s="254"/>
      <c r="IS54" s="254"/>
      <c r="IT54" s="254"/>
      <c r="IU54" s="254"/>
      <c r="IV54" s="254"/>
      <c r="IW54" s="254"/>
      <c r="IX54" s="254"/>
      <c r="IY54" s="254"/>
      <c r="IZ54" s="254"/>
      <c r="JA54" s="254"/>
      <c r="JB54" s="254"/>
      <c r="JC54" s="254"/>
      <c r="JD54" s="254"/>
      <c r="JE54" s="254"/>
      <c r="JF54" s="254"/>
      <c r="JG54" s="254"/>
      <c r="JH54" s="254"/>
      <c r="JI54" s="254"/>
      <c r="JJ54" s="254"/>
      <c r="JK54" s="254"/>
      <c r="JL54" s="254"/>
      <c r="JM54" s="254"/>
      <c r="JN54" s="254"/>
      <c r="JO54" s="254"/>
      <c r="JP54" s="254"/>
      <c r="JQ54" s="254"/>
      <c r="JR54" s="254"/>
      <c r="JS54" s="254"/>
      <c r="JT54" s="254"/>
      <c r="JU54" s="254"/>
      <c r="JV54" s="254"/>
      <c r="JW54" s="254"/>
      <c r="JX54" s="254"/>
      <c r="JY54" s="254"/>
      <c r="JZ54" s="254"/>
      <c r="KA54" s="254"/>
      <c r="KB54" s="254"/>
      <c r="KC54" s="254"/>
      <c r="KD54" s="254"/>
      <c r="KE54" s="254"/>
      <c r="KF54" s="254"/>
      <c r="KG54" s="254"/>
      <c r="KH54" s="254"/>
      <c r="KI54" s="254"/>
      <c r="KJ54" s="254"/>
      <c r="KK54" s="254"/>
      <c r="KL54" s="254"/>
      <c r="KM54" s="254"/>
      <c r="KN54" s="254"/>
      <c r="KO54" s="254"/>
      <c r="KP54" s="254"/>
      <c r="KQ54" s="254"/>
      <c r="KR54" s="254"/>
      <c r="KS54" s="254"/>
      <c r="KT54" s="254"/>
      <c r="KU54" s="254"/>
      <c r="KV54" s="254"/>
      <c r="KW54" s="254"/>
      <c r="KX54" s="254"/>
      <c r="KY54" s="254"/>
      <c r="KZ54" s="254"/>
      <c r="LA54" s="254"/>
      <c r="LB54" s="254"/>
      <c r="LC54" s="254"/>
      <c r="LD54" s="254"/>
      <c r="LE54" s="254"/>
      <c r="LF54" s="254"/>
      <c r="LG54" s="254"/>
      <c r="LH54" s="254"/>
      <c r="LI54" s="254"/>
      <c r="LJ54" s="254"/>
      <c r="LK54" s="254"/>
      <c r="LL54" s="254"/>
      <c r="LM54" s="254"/>
      <c r="LN54" s="254"/>
      <c r="LO54" s="254"/>
      <c r="LP54" s="254"/>
      <c r="LQ54" s="254"/>
      <c r="LR54" s="254"/>
      <c r="LS54" s="254"/>
      <c r="LT54" s="254"/>
      <c r="LU54" s="254"/>
      <c r="LV54" s="254"/>
      <c r="LW54" s="254"/>
      <c r="LX54" s="254"/>
      <c r="LY54" s="254"/>
      <c r="LZ54" s="254"/>
      <c r="MA54" s="254"/>
      <c r="MB54" s="254"/>
      <c r="MC54" s="254"/>
      <c r="MD54" s="254"/>
      <c r="ME54" s="254"/>
      <c r="MF54" s="254"/>
      <c r="MG54" s="254"/>
      <c r="MH54" s="254"/>
      <c r="MI54" s="254"/>
      <c r="MJ54" s="254"/>
      <c r="MK54" s="254"/>
      <c r="ML54" s="254"/>
      <c r="MM54" s="254"/>
      <c r="MN54" s="254"/>
      <c r="MO54" s="254"/>
      <c r="MP54" s="254"/>
      <c r="MQ54" s="254"/>
      <c r="MR54" s="254"/>
      <c r="MS54" s="254"/>
      <c r="MT54" s="254"/>
      <c r="MU54" s="254"/>
      <c r="MV54" s="254"/>
      <c r="MW54" s="254"/>
      <c r="MX54" s="254"/>
      <c r="MY54" s="254"/>
      <c r="MZ54" s="254"/>
      <c r="NA54" s="254"/>
      <c r="NB54" s="254"/>
      <c r="NC54" s="254"/>
      <c r="ND54" s="254"/>
      <c r="NE54" s="254"/>
      <c r="NF54" s="254"/>
      <c r="NG54" s="254"/>
      <c r="NH54" s="254"/>
      <c r="NI54" s="254"/>
      <c r="NJ54" s="254"/>
      <c r="NK54" s="254"/>
      <c r="NL54" s="254"/>
      <c r="NM54" s="254"/>
      <c r="NN54" s="254"/>
      <c r="NO54" s="254"/>
      <c r="NP54" s="254"/>
      <c r="NQ54" s="254"/>
      <c r="NR54" s="254"/>
      <c r="NS54" s="254"/>
      <c r="NT54" s="254"/>
      <c r="NU54" s="254"/>
      <c r="NV54" s="254"/>
      <c r="NW54" s="254"/>
      <c r="NX54" s="254"/>
      <c r="NY54" s="254"/>
      <c r="NZ54" s="254"/>
      <c r="OA54" s="254"/>
      <c r="OB54" s="254"/>
      <c r="OC54" s="254"/>
      <c r="OD54" s="254"/>
      <c r="OE54" s="254"/>
      <c r="OF54" s="254"/>
      <c r="OG54" s="254"/>
      <c r="OH54" s="254"/>
      <c r="OI54" s="254"/>
      <c r="OJ54" s="254"/>
      <c r="OK54" s="254"/>
      <c r="OL54" s="254"/>
      <c r="OM54" s="254"/>
      <c r="ON54" s="254"/>
      <c r="OO54" s="254"/>
      <c r="OP54" s="254"/>
      <c r="OQ54" s="254"/>
      <c r="OR54" s="254"/>
      <c r="OS54" s="254"/>
      <c r="OT54" s="254"/>
      <c r="OU54" s="254"/>
      <c r="OV54" s="254"/>
      <c r="OW54" s="254"/>
      <c r="OX54" s="254"/>
      <c r="OY54" s="254"/>
      <c r="OZ54" s="254"/>
      <c r="PA54" s="254"/>
      <c r="PB54" s="254"/>
      <c r="PC54" s="254"/>
      <c r="PD54" s="254"/>
      <c r="PE54" s="254"/>
      <c r="PF54" s="254"/>
      <c r="PG54" s="254"/>
      <c r="PH54" s="254"/>
      <c r="PI54" s="254"/>
      <c r="PJ54" s="254"/>
      <c r="PK54" s="254"/>
      <c r="PL54" s="254"/>
      <c r="PM54" s="254"/>
      <c r="PN54" s="254"/>
      <c r="PO54" s="254"/>
      <c r="PP54" s="254"/>
      <c r="PQ54" s="254"/>
      <c r="PR54" s="254"/>
      <c r="PS54" s="254"/>
      <c r="PT54" s="254"/>
      <c r="PU54" s="254"/>
      <c r="PV54" s="254"/>
      <c r="PW54" s="254"/>
      <c r="PX54" s="254"/>
      <c r="PY54" s="254"/>
      <c r="PZ54" s="254"/>
      <c r="QA54" s="254"/>
      <c r="QB54" s="254"/>
      <c r="QC54" s="254"/>
      <c r="QD54" s="254"/>
      <c r="QE54" s="254"/>
      <c r="QF54" s="254"/>
      <c r="QG54" s="254"/>
      <c r="QH54" s="254"/>
      <c r="QI54" s="254"/>
      <c r="QJ54" s="254"/>
      <c r="QK54" s="254"/>
      <c r="QL54" s="254"/>
      <c r="QM54" s="254"/>
      <c r="QN54" s="254"/>
      <c r="QO54" s="254"/>
      <c r="QP54" s="254"/>
      <c r="QQ54" s="254"/>
      <c r="QR54" s="254"/>
      <c r="QS54" s="254"/>
      <c r="QT54" s="254"/>
      <c r="QU54" s="254"/>
      <c r="QV54" s="254"/>
      <c r="QW54" s="254"/>
      <c r="QX54" s="254"/>
      <c r="QY54" s="254"/>
      <c r="QZ54" s="254"/>
      <c r="RA54" s="254"/>
      <c r="RB54" s="254"/>
      <c r="RC54" s="254"/>
      <c r="RD54" s="254"/>
      <c r="RE54" s="254"/>
      <c r="RF54" s="254"/>
      <c r="RG54" s="254"/>
      <c r="RH54" s="254"/>
      <c r="RI54" s="254"/>
      <c r="RJ54" s="254"/>
      <c r="RK54" s="254"/>
      <c r="RL54" s="254"/>
      <c r="RM54" s="254"/>
      <c r="RN54" s="254"/>
      <c r="RO54" s="254"/>
      <c r="RP54" s="254"/>
      <c r="RQ54" s="254"/>
      <c r="RR54" s="254"/>
      <c r="RS54" s="254"/>
      <c r="RT54" s="254"/>
      <c r="RU54" s="254"/>
      <c r="RV54" s="254"/>
      <c r="RW54" s="254"/>
      <c r="RX54" s="254"/>
      <c r="RY54" s="254"/>
      <c r="RZ54" s="254"/>
      <c r="SA54" s="254"/>
      <c r="SB54" s="254"/>
      <c r="SC54" s="254"/>
      <c r="SD54" s="254"/>
      <c r="SE54" s="254"/>
      <c r="SF54" s="254"/>
      <c r="SG54" s="254"/>
      <c r="SH54" s="254"/>
      <c r="SI54" s="254"/>
      <c r="SJ54" s="254"/>
      <c r="SK54" s="254"/>
      <c r="SL54" s="254"/>
      <c r="SM54" s="254"/>
      <c r="SN54" s="254"/>
      <c r="SO54" s="254"/>
      <c r="SP54" s="254"/>
      <c r="SQ54" s="254"/>
      <c r="SR54" s="254"/>
      <c r="SS54" s="254"/>
      <c r="ST54" s="254"/>
      <c r="SU54" s="254"/>
      <c r="SV54" s="254"/>
      <c r="SW54" s="254"/>
      <c r="SX54" s="254"/>
      <c r="SY54" s="254"/>
      <c r="SZ54" s="254"/>
      <c r="TA54" s="254"/>
      <c r="TB54" s="254"/>
      <c r="TC54" s="254"/>
      <c r="TD54" s="254"/>
      <c r="TE54" s="254"/>
      <c r="TF54" s="254"/>
      <c r="TG54" s="254"/>
      <c r="TH54" s="254"/>
      <c r="TI54" s="254"/>
      <c r="TJ54" s="254"/>
      <c r="TK54" s="254"/>
      <c r="TL54" s="254"/>
      <c r="TM54" s="254"/>
      <c r="TN54" s="254"/>
      <c r="TO54" s="254"/>
      <c r="TP54" s="254"/>
      <c r="TQ54" s="254"/>
      <c r="TR54" s="254"/>
      <c r="TS54" s="254"/>
      <c r="TT54" s="254"/>
      <c r="TU54" s="254"/>
      <c r="TV54" s="254"/>
      <c r="TW54" s="254"/>
      <c r="TX54" s="254"/>
      <c r="TY54" s="254"/>
      <c r="TZ54" s="254"/>
      <c r="UA54" s="254"/>
      <c r="UB54" s="254"/>
      <c r="UC54" s="254"/>
      <c r="UD54" s="254"/>
      <c r="UE54" s="254"/>
      <c r="UF54" s="254"/>
      <c r="UG54" s="254"/>
      <c r="UH54" s="254"/>
      <c r="UI54" s="254"/>
      <c r="UJ54" s="254"/>
      <c r="UK54" s="254"/>
      <c r="UL54" s="254"/>
      <c r="UM54" s="254"/>
      <c r="UN54" s="254"/>
      <c r="UO54" s="254"/>
      <c r="UP54" s="254"/>
      <c r="UQ54" s="254"/>
      <c r="UR54" s="254"/>
      <c r="US54" s="254"/>
      <c r="UT54" s="254"/>
      <c r="UU54" s="254"/>
      <c r="UV54" s="254"/>
      <c r="UW54" s="254"/>
      <c r="UX54" s="254"/>
      <c r="UY54" s="254"/>
      <c r="UZ54" s="254"/>
      <c r="VA54" s="254"/>
      <c r="VB54" s="254"/>
      <c r="VC54" s="254"/>
      <c r="VD54" s="254"/>
      <c r="VE54" s="254"/>
      <c r="VF54" s="254"/>
      <c r="VG54" s="254"/>
      <c r="VH54" s="254"/>
      <c r="VI54" s="254"/>
      <c r="VJ54" s="254"/>
      <c r="VK54" s="254"/>
      <c r="VL54" s="254"/>
      <c r="VM54" s="254"/>
      <c r="VN54" s="254"/>
      <c r="VO54" s="254"/>
      <c r="VP54" s="254"/>
      <c r="VQ54" s="254"/>
      <c r="VR54" s="254"/>
      <c r="VS54" s="254"/>
      <c r="VT54" s="254"/>
      <c r="VU54" s="254"/>
      <c r="VV54" s="254"/>
      <c r="VW54" s="254"/>
      <c r="VX54" s="254"/>
      <c r="VY54" s="254"/>
      <c r="VZ54" s="254"/>
      <c r="WA54" s="254"/>
      <c r="WB54" s="254"/>
      <c r="WC54" s="254"/>
      <c r="WD54" s="254"/>
      <c r="WE54" s="254"/>
      <c r="WF54" s="254"/>
      <c r="WG54" s="254"/>
      <c r="WH54" s="254"/>
      <c r="WI54" s="254"/>
      <c r="WJ54" s="254"/>
      <c r="WK54" s="254"/>
      <c r="WL54" s="254"/>
      <c r="WM54" s="254"/>
      <c r="WN54" s="254"/>
      <c r="WO54" s="254"/>
      <c r="WP54" s="254"/>
      <c r="WQ54" s="254"/>
      <c r="WR54" s="254"/>
      <c r="WS54" s="254"/>
      <c r="WT54" s="254"/>
      <c r="WU54" s="254"/>
      <c r="WV54" s="254"/>
      <c r="WW54" s="254"/>
      <c r="WX54" s="254"/>
      <c r="WY54" s="254"/>
      <c r="WZ54" s="254"/>
      <c r="XA54" s="254"/>
      <c r="XB54" s="254"/>
      <c r="XC54" s="254"/>
      <c r="XD54" s="254"/>
      <c r="XE54" s="254"/>
      <c r="XF54" s="254"/>
      <c r="XG54" s="254"/>
      <c r="XH54" s="254"/>
      <c r="XI54" s="254"/>
      <c r="XJ54" s="254"/>
      <c r="XK54" s="254"/>
      <c r="XL54" s="254"/>
      <c r="XM54" s="254"/>
      <c r="XN54" s="254"/>
      <c r="XO54" s="254"/>
      <c r="XP54" s="254"/>
      <c r="XQ54" s="254"/>
      <c r="XR54" s="254"/>
      <c r="XS54" s="254"/>
      <c r="XT54" s="254"/>
      <c r="XU54" s="254"/>
      <c r="XV54" s="254"/>
      <c r="XW54" s="254"/>
      <c r="XX54" s="254"/>
      <c r="XY54" s="254"/>
      <c r="XZ54" s="254"/>
      <c r="YA54" s="254"/>
      <c r="YB54" s="254"/>
      <c r="YC54" s="254"/>
      <c r="YD54" s="254"/>
      <c r="YE54" s="254"/>
      <c r="YF54" s="254"/>
      <c r="YG54" s="254"/>
      <c r="YH54" s="254"/>
      <c r="YI54" s="254"/>
      <c r="YJ54" s="254"/>
      <c r="YK54" s="254"/>
      <c r="YL54" s="254"/>
      <c r="YM54" s="254"/>
      <c r="YN54" s="254"/>
      <c r="YO54" s="254"/>
      <c r="YP54" s="254"/>
      <c r="YQ54" s="254"/>
      <c r="YR54" s="254"/>
      <c r="YS54" s="254"/>
      <c r="YT54" s="254"/>
      <c r="YU54" s="254"/>
      <c r="YV54" s="254"/>
      <c r="YW54" s="254"/>
      <c r="YX54" s="254"/>
      <c r="YY54" s="254"/>
      <c r="YZ54" s="254"/>
      <c r="ZA54" s="254"/>
      <c r="ZB54" s="254"/>
      <c r="ZC54" s="254"/>
      <c r="ZD54" s="254"/>
      <c r="ZE54" s="254"/>
      <c r="ZF54" s="254"/>
      <c r="ZG54" s="254"/>
      <c r="ZH54" s="254"/>
      <c r="ZI54" s="254"/>
      <c r="ZJ54" s="254"/>
      <c r="ZK54" s="254"/>
      <c r="ZL54" s="254"/>
      <c r="ZM54" s="254"/>
      <c r="ZN54" s="254"/>
      <c r="ZO54" s="254"/>
      <c r="ZP54" s="254"/>
      <c r="ZQ54" s="254"/>
      <c r="ZR54" s="254"/>
      <c r="ZS54" s="254"/>
      <c r="ZT54" s="254"/>
      <c r="ZU54" s="254"/>
      <c r="ZV54" s="254"/>
      <c r="ZW54" s="254"/>
      <c r="ZX54" s="254"/>
      <c r="ZY54" s="254"/>
      <c r="ZZ54" s="254"/>
      <c r="AAA54" s="254"/>
      <c r="AAB54" s="254"/>
      <c r="AAC54" s="254"/>
      <c r="AAD54" s="254"/>
      <c r="AAE54" s="254"/>
      <c r="AAF54" s="254"/>
      <c r="AAG54" s="254"/>
      <c r="AAH54" s="254"/>
      <c r="AAI54" s="254"/>
      <c r="AAJ54" s="254"/>
      <c r="AAK54" s="254"/>
      <c r="AAL54" s="254"/>
      <c r="AAM54" s="254"/>
      <c r="AAN54" s="254"/>
      <c r="AAO54" s="254"/>
      <c r="AAP54" s="254"/>
      <c r="AAQ54" s="254"/>
      <c r="AAR54" s="254"/>
      <c r="AAS54" s="254"/>
      <c r="AAT54" s="254"/>
      <c r="AAU54" s="254"/>
      <c r="AAV54" s="254"/>
      <c r="AAW54" s="254"/>
      <c r="AAX54" s="254"/>
      <c r="AAY54" s="254"/>
      <c r="AAZ54" s="254"/>
      <c r="ABA54" s="254"/>
      <c r="ABB54" s="254"/>
      <c r="ABC54" s="254"/>
      <c r="ABD54" s="254"/>
      <c r="ABE54" s="254"/>
      <c r="ABF54" s="254"/>
      <c r="ABG54" s="254"/>
      <c r="ABH54" s="254"/>
      <c r="ABI54" s="254"/>
      <c r="ABJ54" s="254"/>
      <c r="ABK54" s="254"/>
      <c r="ABL54" s="254"/>
      <c r="ABM54" s="254"/>
      <c r="ABN54" s="254"/>
      <c r="ABO54" s="254"/>
      <c r="ABP54" s="254"/>
      <c r="ABQ54" s="254"/>
      <c r="ABR54" s="254"/>
      <c r="ABS54" s="254"/>
      <c r="ABT54" s="254"/>
      <c r="ABU54" s="254"/>
      <c r="ABV54" s="254"/>
      <c r="ABW54" s="254"/>
      <c r="ABX54" s="254"/>
      <c r="ABY54" s="254"/>
      <c r="ABZ54" s="254"/>
      <c r="ACA54" s="254"/>
      <c r="ACB54" s="254"/>
      <c r="ACC54" s="254"/>
      <c r="ACD54" s="254"/>
      <c r="ACE54" s="254"/>
      <c r="ACF54" s="254"/>
      <c r="ACG54" s="254"/>
      <c r="ACH54" s="254"/>
      <c r="ACI54" s="254"/>
      <c r="ACJ54" s="254"/>
      <c r="ACK54" s="254"/>
      <c r="ACL54" s="254"/>
      <c r="ACM54" s="254"/>
      <c r="ACN54" s="254"/>
      <c r="ACO54" s="254"/>
      <c r="ACP54" s="254"/>
      <c r="ACQ54" s="254"/>
      <c r="ACR54" s="254"/>
      <c r="ACS54" s="254"/>
      <c r="ACT54" s="254"/>
      <c r="ACU54" s="254"/>
      <c r="ACV54" s="254"/>
      <c r="ACW54" s="254"/>
      <c r="ACX54" s="254"/>
      <c r="ACY54" s="254"/>
      <c r="ACZ54" s="254"/>
      <c r="ADA54" s="254"/>
      <c r="ADB54" s="254"/>
      <c r="ADC54" s="254"/>
      <c r="ADD54" s="254"/>
      <c r="ADE54" s="254"/>
      <c r="ADF54" s="254"/>
      <c r="ADG54" s="254"/>
      <c r="ADH54" s="254"/>
      <c r="ADI54" s="254"/>
      <c r="ADJ54" s="254"/>
      <c r="ADK54" s="254"/>
      <c r="ADL54" s="254"/>
      <c r="ADM54" s="254"/>
      <c r="ADN54" s="254"/>
      <c r="ADO54" s="254"/>
      <c r="ADP54" s="254"/>
      <c r="ADQ54" s="254"/>
      <c r="ADR54" s="254"/>
      <c r="ADS54" s="254"/>
      <c r="ADT54" s="254"/>
      <c r="ADU54" s="254"/>
      <c r="ADV54" s="254"/>
      <c r="ADW54" s="254"/>
      <c r="ADX54" s="254"/>
      <c r="ADY54" s="254"/>
      <c r="ADZ54" s="254"/>
      <c r="AEA54" s="254"/>
      <c r="AEB54" s="254"/>
      <c r="AEC54" s="254"/>
      <c r="AED54" s="254"/>
      <c r="AEE54" s="254"/>
      <c r="AEF54" s="254"/>
      <c r="AEG54" s="254"/>
      <c r="AEH54" s="254"/>
      <c r="AEI54" s="254"/>
      <c r="AEJ54" s="254"/>
      <c r="AEK54" s="254"/>
      <c r="AEL54" s="254"/>
      <c r="AEM54" s="254"/>
      <c r="AEN54" s="254"/>
      <c r="AEO54" s="254"/>
      <c r="AEP54" s="254"/>
      <c r="AEQ54" s="254"/>
      <c r="AER54" s="254"/>
      <c r="AES54" s="254"/>
      <c r="AET54" s="254"/>
      <c r="AEU54" s="254"/>
      <c r="AEV54" s="254"/>
      <c r="AEW54" s="254"/>
      <c r="AEX54" s="254"/>
      <c r="AEY54" s="254"/>
      <c r="AEZ54" s="254"/>
      <c r="AFA54" s="254"/>
      <c r="AFB54" s="254"/>
      <c r="AFC54" s="254"/>
      <c r="AFD54" s="254"/>
      <c r="AFE54" s="254"/>
      <c r="AFF54" s="254"/>
      <c r="AFG54" s="254"/>
      <c r="AFH54" s="254"/>
      <c r="AFI54" s="254"/>
      <c r="AFJ54" s="254"/>
      <c r="AFK54" s="254"/>
      <c r="AFL54" s="254"/>
      <c r="AFM54" s="254"/>
      <c r="AFN54" s="254"/>
      <c r="AFO54" s="254"/>
      <c r="AFP54" s="254"/>
      <c r="AFQ54" s="254"/>
      <c r="AFR54" s="254"/>
      <c r="AFS54" s="254"/>
      <c r="AFT54" s="254"/>
      <c r="AFU54" s="254"/>
      <c r="AFV54" s="254"/>
      <c r="AFW54" s="254"/>
      <c r="AFX54" s="254"/>
      <c r="AFY54" s="254"/>
      <c r="AFZ54" s="254"/>
      <c r="AGA54" s="254"/>
      <c r="AGB54" s="254"/>
      <c r="AGC54" s="254"/>
      <c r="AGD54" s="254"/>
      <c r="AGE54" s="254"/>
      <c r="AGF54" s="254"/>
      <c r="AGG54" s="254"/>
      <c r="AGH54" s="254"/>
      <c r="AGI54" s="254"/>
      <c r="AGJ54" s="254"/>
      <c r="AGK54" s="254"/>
      <c r="AGL54" s="254"/>
      <c r="AGM54" s="254"/>
      <c r="AGN54" s="254"/>
      <c r="AGO54" s="254"/>
      <c r="AGP54" s="254"/>
      <c r="AGQ54" s="254"/>
      <c r="AGR54" s="254"/>
      <c r="AGS54" s="254"/>
      <c r="AGT54" s="254"/>
      <c r="AGU54" s="254"/>
      <c r="AGV54" s="254"/>
      <c r="AGW54" s="254"/>
      <c r="AGX54" s="254"/>
      <c r="AGY54" s="254"/>
      <c r="AGZ54" s="254"/>
      <c r="AHA54" s="254"/>
      <c r="AHB54" s="254"/>
      <c r="AHC54" s="254"/>
      <c r="AHD54" s="254"/>
      <c r="AHE54" s="254"/>
      <c r="AHF54" s="254"/>
      <c r="AHG54" s="254"/>
      <c r="AHH54" s="254"/>
      <c r="AHI54" s="254"/>
      <c r="AHJ54" s="254"/>
      <c r="AHK54" s="254"/>
      <c r="AHL54" s="254"/>
      <c r="AHM54" s="254"/>
      <c r="AHN54" s="254"/>
      <c r="AHO54" s="254"/>
      <c r="AHP54" s="254"/>
      <c r="AHQ54" s="254"/>
      <c r="AHR54" s="254"/>
      <c r="AHS54" s="254"/>
      <c r="AHT54" s="254"/>
      <c r="AHU54" s="254"/>
      <c r="AHV54" s="254"/>
      <c r="AHW54" s="254"/>
      <c r="AHX54" s="254"/>
      <c r="AHY54" s="254"/>
      <c r="AHZ54" s="254"/>
      <c r="AIA54" s="254"/>
      <c r="AIB54" s="254"/>
      <c r="AIC54" s="254"/>
      <c r="AID54" s="254"/>
      <c r="AIE54" s="254"/>
      <c r="AIF54" s="254"/>
      <c r="AIG54" s="254"/>
      <c r="AIH54" s="254"/>
      <c r="AII54" s="254"/>
      <c r="AIJ54" s="254"/>
      <c r="AIK54" s="254"/>
      <c r="AIL54" s="254"/>
      <c r="AIM54" s="254"/>
      <c r="AIN54" s="254"/>
      <c r="AIO54" s="254"/>
      <c r="AIP54" s="254"/>
      <c r="AIQ54" s="254"/>
      <c r="AIR54" s="254"/>
      <c r="AIS54" s="254"/>
      <c r="AIT54" s="254"/>
      <c r="AIU54" s="254"/>
      <c r="AIV54" s="254"/>
      <c r="AIW54" s="254"/>
      <c r="AIX54" s="254"/>
      <c r="AIY54" s="254"/>
      <c r="AIZ54" s="254"/>
      <c r="AJA54" s="254"/>
      <c r="AJB54" s="254"/>
      <c r="AJC54" s="254"/>
      <c r="AJD54" s="254"/>
      <c r="AJE54" s="254"/>
      <c r="AJF54" s="254"/>
      <c r="AJG54" s="254"/>
      <c r="AJH54" s="254"/>
      <c r="AJI54" s="254"/>
      <c r="AJJ54" s="254"/>
      <c r="AJK54" s="254"/>
      <c r="AJL54" s="254"/>
      <c r="AJM54" s="254"/>
      <c r="AJN54" s="254"/>
      <c r="AJO54" s="254"/>
      <c r="AJP54" s="254"/>
      <c r="AJQ54" s="254"/>
      <c r="AJR54" s="254"/>
      <c r="AJS54" s="254"/>
      <c r="AJT54" s="254"/>
      <c r="AJU54" s="254"/>
      <c r="AJV54" s="254"/>
      <c r="AJW54" s="254"/>
      <c r="AJX54" s="254"/>
      <c r="AJY54" s="254"/>
      <c r="AJZ54" s="254"/>
      <c r="AKA54" s="254"/>
      <c r="AKB54" s="254"/>
      <c r="AKC54" s="254"/>
      <c r="AKD54" s="254"/>
      <c r="AKE54" s="254"/>
      <c r="AKF54" s="254"/>
      <c r="AKG54" s="254"/>
      <c r="AKH54" s="254"/>
      <c r="AKI54" s="254"/>
      <c r="AKJ54" s="254"/>
      <c r="AKK54" s="254"/>
      <c r="AKL54" s="254"/>
      <c r="AKM54" s="254"/>
      <c r="AKN54" s="254"/>
      <c r="AKO54" s="254"/>
      <c r="AKP54" s="254"/>
      <c r="AKQ54" s="254"/>
      <c r="AKR54" s="254"/>
      <c r="AKS54" s="254"/>
      <c r="AKT54" s="254"/>
      <c r="AKU54" s="254"/>
      <c r="AKV54" s="254"/>
      <c r="AKW54" s="254"/>
      <c r="AKX54" s="254"/>
      <c r="AKY54" s="254"/>
      <c r="AKZ54" s="254"/>
      <c r="ALA54" s="254"/>
      <c r="ALB54" s="254"/>
      <c r="ALC54" s="254"/>
      <c r="ALD54" s="254"/>
      <c r="ALE54" s="254"/>
      <c r="ALF54" s="254"/>
      <c r="ALG54" s="254"/>
      <c r="ALH54" s="254"/>
      <c r="ALI54" s="254"/>
      <c r="ALJ54" s="254"/>
      <c r="ALK54" s="254"/>
      <c r="ALL54" s="254"/>
      <c r="ALM54" s="254"/>
      <c r="ALN54" s="254"/>
      <c r="ALO54" s="254"/>
      <c r="ALP54" s="254"/>
      <c r="ALQ54" s="254"/>
      <c r="ALR54" s="254"/>
      <c r="ALS54" s="254"/>
      <c r="ALT54" s="254"/>
      <c r="ALU54" s="254"/>
      <c r="ALV54" s="254"/>
      <c r="ALW54" s="254"/>
      <c r="ALX54" s="254"/>
      <c r="ALY54" s="254"/>
      <c r="ALZ54" s="254"/>
      <c r="AMA54" s="254"/>
      <c r="AMB54" s="254"/>
      <c r="AMC54" s="254"/>
      <c r="AMD54" s="254"/>
      <c r="AME54" s="254"/>
      <c r="AMF54" s="254"/>
      <c r="AMG54" s="254"/>
      <c r="AMH54" s="254"/>
      <c r="AMI54" s="254"/>
      <c r="AMJ54" s="254"/>
      <c r="AMK54" s="254"/>
      <c r="AML54" s="254"/>
      <c r="AMM54" s="254"/>
      <c r="AMN54" s="254"/>
      <c r="AMO54" s="254"/>
      <c r="AMP54" s="254"/>
      <c r="AMQ54" s="254"/>
      <c r="AMR54" s="254"/>
      <c r="AMS54" s="254"/>
      <c r="AMT54" s="254"/>
      <c r="AMU54" s="254"/>
      <c r="AMV54" s="254"/>
      <c r="AMW54" s="254"/>
      <c r="AMX54" s="254"/>
      <c r="AMY54" s="254"/>
      <c r="AMZ54" s="254"/>
      <c r="ANA54" s="254"/>
      <c r="ANB54" s="254"/>
      <c r="ANC54" s="254"/>
      <c r="AND54" s="254"/>
      <c r="ANE54" s="254"/>
      <c r="ANF54" s="254"/>
      <c r="ANG54" s="254"/>
      <c r="ANH54" s="254"/>
      <c r="ANI54" s="254"/>
      <c r="ANJ54" s="254"/>
      <c r="ANK54" s="254"/>
      <c r="ANL54" s="254"/>
      <c r="ANM54" s="254"/>
      <c r="ANN54" s="254"/>
      <c r="ANO54" s="254"/>
      <c r="ANP54" s="254"/>
      <c r="ANQ54" s="254"/>
      <c r="ANR54" s="254"/>
      <c r="ANS54" s="254"/>
      <c r="ANT54" s="254"/>
      <c r="ANU54" s="254"/>
      <c r="ANV54" s="254"/>
      <c r="ANW54" s="254"/>
      <c r="ANX54" s="254"/>
      <c r="ANY54" s="254"/>
      <c r="ANZ54" s="254"/>
      <c r="AOA54" s="254"/>
      <c r="AOB54" s="254"/>
      <c r="AOC54" s="254"/>
      <c r="AOD54" s="254"/>
      <c r="AOE54" s="254"/>
      <c r="AOF54" s="254"/>
      <c r="AOG54" s="254"/>
      <c r="AOH54" s="254"/>
      <c r="AOI54" s="254"/>
      <c r="AOJ54" s="254"/>
      <c r="AOK54" s="254"/>
      <c r="AOL54" s="254"/>
      <c r="AOM54" s="254"/>
      <c r="AON54" s="254"/>
      <c r="AOO54" s="254"/>
      <c r="AOP54" s="254"/>
      <c r="AOQ54" s="254"/>
      <c r="AOR54" s="254"/>
      <c r="AOS54" s="254"/>
      <c r="AOT54" s="254"/>
      <c r="AOU54" s="254"/>
      <c r="AOV54" s="254"/>
      <c r="AOW54" s="254"/>
      <c r="AOX54" s="254"/>
      <c r="AOY54" s="254"/>
      <c r="AOZ54" s="254"/>
      <c r="APA54" s="254"/>
      <c r="APB54" s="254"/>
      <c r="APC54" s="254"/>
      <c r="APD54" s="254"/>
      <c r="APE54" s="254"/>
      <c r="APF54" s="254"/>
      <c r="APG54" s="254"/>
      <c r="APH54" s="254"/>
      <c r="API54" s="254"/>
      <c r="APJ54" s="254"/>
      <c r="APK54" s="254"/>
      <c r="APL54" s="254"/>
      <c r="APM54" s="254"/>
      <c r="APN54" s="254"/>
      <c r="APO54" s="254"/>
      <c r="APP54" s="254"/>
      <c r="APQ54" s="254"/>
      <c r="APR54" s="254"/>
      <c r="APS54" s="254"/>
      <c r="APT54" s="254"/>
      <c r="APU54" s="254"/>
      <c r="APV54" s="254"/>
      <c r="APW54" s="254"/>
      <c r="APX54" s="254"/>
      <c r="APY54" s="254"/>
      <c r="APZ54" s="254"/>
      <c r="AQA54" s="254"/>
      <c r="AQB54" s="254"/>
      <c r="AQC54" s="254"/>
      <c r="AQD54" s="254"/>
      <c r="AQE54" s="254"/>
      <c r="AQF54" s="254"/>
      <c r="AQG54" s="254"/>
      <c r="AQH54" s="254"/>
      <c r="AQI54" s="254"/>
      <c r="AQJ54" s="254"/>
      <c r="AQK54" s="254"/>
      <c r="AQL54" s="254"/>
      <c r="AQM54" s="254"/>
      <c r="AQN54" s="254"/>
      <c r="AQO54" s="254"/>
      <c r="AQP54" s="254"/>
      <c r="AQQ54" s="254"/>
      <c r="AQR54" s="254"/>
      <c r="AQS54" s="254"/>
      <c r="AQT54" s="254"/>
      <c r="AQU54" s="254"/>
      <c r="AQV54" s="254"/>
      <c r="AQW54" s="254"/>
      <c r="AQX54" s="254"/>
      <c r="AQY54" s="254"/>
      <c r="AQZ54" s="254"/>
      <c r="ARA54" s="254"/>
      <c r="ARB54" s="254"/>
      <c r="ARC54" s="254"/>
      <c r="ARD54" s="254"/>
      <c r="ARE54" s="254"/>
      <c r="ARF54" s="254"/>
      <c r="ARG54" s="254"/>
      <c r="ARH54" s="254"/>
      <c r="ARI54" s="254"/>
      <c r="ARJ54" s="254"/>
      <c r="ARK54" s="254"/>
      <c r="ARL54" s="254"/>
      <c r="ARM54" s="254"/>
      <c r="ARN54" s="254"/>
      <c r="ARO54" s="254"/>
      <c r="ARP54" s="254"/>
      <c r="ARQ54" s="254"/>
      <c r="ARR54" s="254"/>
      <c r="ARS54" s="254"/>
      <c r="ART54" s="254"/>
      <c r="ARU54" s="254"/>
      <c r="ARV54" s="254"/>
      <c r="ARW54" s="254"/>
      <c r="ARX54" s="254"/>
      <c r="ARY54" s="254"/>
      <c r="ARZ54" s="254"/>
      <c r="ASA54" s="254"/>
      <c r="ASB54" s="254"/>
      <c r="ASC54" s="254"/>
      <c r="ASD54" s="254"/>
      <c r="ASE54" s="254"/>
      <c r="ASF54" s="254"/>
      <c r="ASG54" s="254"/>
      <c r="ASH54" s="254"/>
      <c r="ASI54" s="254"/>
      <c r="ASJ54" s="254"/>
      <c r="ASK54" s="254"/>
      <c r="ASL54" s="254"/>
      <c r="ASM54" s="254"/>
      <c r="ASN54" s="254"/>
      <c r="ASO54" s="254"/>
      <c r="ASP54" s="254"/>
      <c r="ASQ54" s="254"/>
      <c r="ASR54" s="254"/>
      <c r="ASS54" s="254"/>
      <c r="AST54" s="254"/>
      <c r="ASU54" s="254"/>
      <c r="ASV54" s="254"/>
      <c r="ASW54" s="254"/>
      <c r="ASX54" s="254"/>
      <c r="ASY54" s="254"/>
      <c r="ASZ54" s="254"/>
      <c r="ATA54" s="254"/>
      <c r="ATB54" s="254"/>
      <c r="ATC54" s="254"/>
      <c r="ATD54" s="254"/>
      <c r="ATE54" s="254"/>
      <c r="ATF54" s="254"/>
      <c r="ATG54" s="254"/>
      <c r="ATH54" s="254"/>
      <c r="ATI54" s="254"/>
      <c r="ATJ54" s="254"/>
      <c r="ATK54" s="254"/>
      <c r="ATL54" s="254"/>
      <c r="ATM54" s="254"/>
      <c r="ATN54" s="254"/>
      <c r="ATO54" s="254"/>
      <c r="ATP54" s="254"/>
      <c r="ATQ54" s="254"/>
      <c r="ATR54" s="254"/>
      <c r="ATS54" s="254"/>
      <c r="ATT54" s="254"/>
      <c r="ATU54" s="254"/>
      <c r="ATV54" s="254"/>
      <c r="ATW54" s="254"/>
      <c r="ATX54" s="254"/>
      <c r="ATY54" s="254"/>
      <c r="ATZ54" s="254"/>
      <c r="AUA54" s="254"/>
      <c r="AUB54" s="254"/>
      <c r="AUC54" s="254"/>
      <c r="AUD54" s="254"/>
      <c r="AUE54" s="254"/>
      <c r="AUF54" s="254"/>
      <c r="AUG54" s="254"/>
      <c r="AUH54" s="254"/>
      <c r="AUI54" s="254"/>
      <c r="AUJ54" s="254"/>
      <c r="AUK54" s="254"/>
      <c r="AUL54" s="254"/>
      <c r="AUM54" s="254"/>
      <c r="AUN54" s="254"/>
      <c r="AUO54" s="254"/>
      <c r="AUP54" s="254"/>
      <c r="AUQ54" s="254"/>
      <c r="AUR54" s="254"/>
      <c r="AUS54" s="254"/>
      <c r="AUT54" s="254"/>
      <c r="AUU54" s="254"/>
      <c r="AUV54" s="254"/>
      <c r="AUW54" s="254"/>
      <c r="AUX54" s="254"/>
      <c r="AUY54" s="254"/>
      <c r="AUZ54" s="254"/>
      <c r="AVA54" s="254"/>
      <c r="AVB54" s="254"/>
      <c r="AVC54" s="254"/>
      <c r="AVD54" s="254"/>
      <c r="AVE54" s="254"/>
      <c r="AVF54" s="254"/>
      <c r="AVG54" s="254"/>
      <c r="AVH54" s="254"/>
      <c r="AVI54" s="254"/>
      <c r="AVJ54" s="254"/>
      <c r="AVK54" s="254"/>
      <c r="AVL54" s="254"/>
      <c r="AVM54" s="254"/>
      <c r="AVN54" s="254"/>
      <c r="AVO54" s="254"/>
      <c r="AVP54" s="254"/>
      <c r="AVQ54" s="254"/>
      <c r="AVR54" s="254"/>
      <c r="AVS54" s="254"/>
      <c r="AVT54" s="254"/>
      <c r="AVU54" s="254"/>
      <c r="AVV54" s="254"/>
      <c r="AVW54" s="254"/>
      <c r="AVX54" s="254"/>
      <c r="AVY54" s="254"/>
      <c r="AVZ54" s="254"/>
      <c r="AWA54" s="254"/>
      <c r="AWB54" s="254"/>
      <c r="AWC54" s="254"/>
      <c r="AWD54" s="254"/>
      <c r="AWE54" s="254"/>
      <c r="AWF54" s="254"/>
      <c r="AWG54" s="254"/>
      <c r="AWH54" s="254"/>
      <c r="AWI54" s="254"/>
      <c r="AWJ54" s="254"/>
      <c r="AWK54" s="254"/>
      <c r="AWL54" s="254"/>
      <c r="AWM54" s="254"/>
      <c r="AWN54" s="254"/>
      <c r="AWO54" s="254"/>
      <c r="AWP54" s="254"/>
      <c r="AWQ54" s="254"/>
      <c r="AWR54" s="254"/>
      <c r="AWS54" s="254"/>
      <c r="AWT54" s="254"/>
      <c r="AWU54" s="254"/>
      <c r="AWV54" s="254"/>
      <c r="AWW54" s="254"/>
      <c r="AWX54" s="254"/>
      <c r="AWY54" s="254"/>
      <c r="AWZ54" s="254"/>
      <c r="AXA54" s="254"/>
      <c r="AXB54" s="254"/>
      <c r="AXC54" s="254"/>
      <c r="AXD54" s="254"/>
      <c r="AXE54" s="254"/>
      <c r="AXF54" s="254"/>
      <c r="AXG54" s="254"/>
      <c r="AXH54" s="254"/>
      <c r="AXI54" s="254"/>
      <c r="AXJ54" s="254"/>
      <c r="AXK54" s="254"/>
      <c r="AXL54" s="254"/>
      <c r="AXM54" s="254"/>
      <c r="AXN54" s="254"/>
      <c r="AXO54" s="254"/>
      <c r="AXP54" s="254"/>
      <c r="AXQ54" s="254"/>
      <c r="AXR54" s="254"/>
      <c r="AXS54" s="254"/>
      <c r="AXT54" s="254"/>
      <c r="AXU54" s="254"/>
      <c r="AXV54" s="254"/>
      <c r="AXW54" s="254"/>
      <c r="AXX54" s="254"/>
      <c r="AXY54" s="254"/>
      <c r="AXZ54" s="254"/>
      <c r="AYA54" s="254"/>
      <c r="AYB54" s="254"/>
      <c r="AYC54" s="254"/>
      <c r="AYD54" s="254"/>
      <c r="AYE54" s="254"/>
      <c r="AYF54" s="254"/>
      <c r="AYG54" s="254"/>
      <c r="AYH54" s="254"/>
      <c r="AYI54" s="254"/>
      <c r="AYJ54" s="254"/>
      <c r="AYK54" s="254"/>
      <c r="AYL54" s="254"/>
      <c r="AYM54" s="254"/>
      <c r="AYN54" s="254"/>
      <c r="AYO54" s="254"/>
      <c r="AYP54" s="254"/>
      <c r="AYQ54" s="254"/>
      <c r="AYR54" s="254"/>
      <c r="AYS54" s="254"/>
      <c r="AYT54" s="254"/>
      <c r="AYU54" s="254"/>
      <c r="AYV54" s="254"/>
      <c r="AYW54" s="254"/>
      <c r="AYX54" s="254"/>
      <c r="AYY54" s="254"/>
      <c r="AYZ54" s="254"/>
      <c r="AZA54" s="254"/>
      <c r="AZB54" s="254"/>
      <c r="AZC54" s="254"/>
      <c r="AZD54" s="254"/>
      <c r="AZE54" s="254"/>
      <c r="AZF54" s="254"/>
      <c r="AZG54" s="254"/>
      <c r="AZH54" s="254"/>
      <c r="AZI54" s="254"/>
      <c r="AZJ54" s="254"/>
      <c r="AZK54" s="254"/>
      <c r="AZL54" s="254"/>
      <c r="AZM54" s="254"/>
      <c r="AZN54" s="254"/>
      <c r="AZO54" s="254"/>
      <c r="AZP54" s="254"/>
      <c r="AZQ54" s="254"/>
      <c r="AZR54" s="254"/>
      <c r="AZS54" s="254"/>
      <c r="AZT54" s="254"/>
      <c r="AZU54" s="254"/>
      <c r="AZV54" s="254"/>
      <c r="AZW54" s="254"/>
      <c r="AZX54" s="254"/>
      <c r="AZY54" s="254"/>
      <c r="AZZ54" s="254"/>
      <c r="BAA54" s="254"/>
      <c r="BAB54" s="254"/>
      <c r="BAC54" s="254"/>
      <c r="BAD54" s="254"/>
      <c r="BAE54" s="254"/>
      <c r="BAF54" s="254"/>
      <c r="BAG54" s="254"/>
      <c r="BAH54" s="254"/>
      <c r="BAI54" s="254"/>
      <c r="BAJ54" s="254"/>
      <c r="BAK54" s="254"/>
      <c r="BAL54" s="254"/>
      <c r="BAM54" s="254"/>
      <c r="BAN54" s="254"/>
      <c r="BAO54" s="254"/>
      <c r="BAP54" s="254"/>
      <c r="BAQ54" s="254"/>
      <c r="BAR54" s="254"/>
      <c r="BAS54" s="254"/>
      <c r="BAT54" s="254"/>
      <c r="BAU54" s="254"/>
      <c r="BAV54" s="254"/>
      <c r="BAW54" s="254"/>
      <c r="BAX54" s="254"/>
      <c r="BAY54" s="254"/>
      <c r="BAZ54" s="254"/>
      <c r="BBA54" s="254"/>
      <c r="BBB54" s="254"/>
      <c r="BBC54" s="254"/>
      <c r="BBD54" s="254"/>
      <c r="BBE54" s="254"/>
      <c r="BBF54" s="254"/>
      <c r="BBG54" s="254"/>
      <c r="BBH54" s="254"/>
      <c r="BBI54" s="254"/>
      <c r="BBJ54" s="254"/>
      <c r="BBK54" s="254"/>
      <c r="BBL54" s="254"/>
      <c r="BBM54" s="254"/>
      <c r="BBN54" s="254"/>
      <c r="BBO54" s="254"/>
      <c r="BBP54" s="254"/>
      <c r="BBQ54" s="254"/>
      <c r="BBR54" s="254"/>
      <c r="BBS54" s="254"/>
      <c r="BBT54" s="254"/>
      <c r="BBU54" s="254"/>
      <c r="BBV54" s="254"/>
      <c r="BBW54" s="254"/>
      <c r="BBX54" s="254"/>
      <c r="BBY54" s="254"/>
      <c r="BBZ54" s="254"/>
      <c r="BCA54" s="254"/>
      <c r="BCB54" s="254"/>
      <c r="BCC54" s="254"/>
      <c r="BCD54" s="254"/>
      <c r="BCE54" s="254"/>
      <c r="BCF54" s="254"/>
      <c r="BCG54" s="254"/>
      <c r="BCH54" s="254"/>
      <c r="BCI54" s="254"/>
      <c r="BCJ54" s="254"/>
      <c r="BCK54" s="254"/>
      <c r="BCL54" s="254"/>
      <c r="BCM54" s="254"/>
      <c r="BCN54" s="254"/>
      <c r="BCO54" s="254"/>
      <c r="BCP54" s="254"/>
      <c r="BCQ54" s="254"/>
      <c r="BCR54" s="254"/>
      <c r="BCS54" s="254"/>
      <c r="BCT54" s="254"/>
      <c r="BCU54" s="254"/>
      <c r="BCV54" s="254"/>
      <c r="BCW54" s="254"/>
      <c r="BCX54" s="254"/>
      <c r="BCY54" s="254"/>
      <c r="BCZ54" s="254"/>
      <c r="BDA54" s="254"/>
      <c r="BDB54" s="254"/>
      <c r="BDC54" s="254"/>
      <c r="BDD54" s="254"/>
      <c r="BDE54" s="254"/>
      <c r="BDF54" s="254"/>
      <c r="BDG54" s="254"/>
      <c r="BDH54" s="254"/>
      <c r="BDI54" s="254"/>
      <c r="BDJ54" s="254"/>
      <c r="BDK54" s="254"/>
      <c r="BDL54" s="254"/>
      <c r="BDM54" s="254"/>
      <c r="BDN54" s="254"/>
      <c r="BDO54" s="254"/>
      <c r="BDP54" s="254"/>
      <c r="BDQ54" s="254"/>
      <c r="BDR54" s="254"/>
      <c r="BDS54" s="254"/>
      <c r="BDT54" s="254"/>
      <c r="BDU54" s="254"/>
      <c r="BDV54" s="254"/>
      <c r="BDW54" s="254"/>
      <c r="BDX54" s="254"/>
      <c r="BDY54" s="254"/>
      <c r="BDZ54" s="254"/>
      <c r="BEA54" s="254"/>
      <c r="BEB54" s="254"/>
      <c r="BEC54" s="254"/>
      <c r="BED54" s="254"/>
      <c r="BEE54" s="254"/>
      <c r="BEF54" s="254"/>
      <c r="BEG54" s="254"/>
      <c r="BEH54" s="254"/>
      <c r="BEI54" s="254"/>
      <c r="BEJ54" s="254"/>
      <c r="BEK54" s="254"/>
      <c r="BEL54" s="254"/>
      <c r="BEM54" s="254"/>
      <c r="BEN54" s="254"/>
      <c r="BEO54" s="254"/>
      <c r="BEP54" s="254"/>
      <c r="BEQ54" s="254"/>
      <c r="BER54" s="254"/>
      <c r="BES54" s="254"/>
      <c r="BET54" s="254"/>
      <c r="BEU54" s="254"/>
      <c r="BEV54" s="254"/>
      <c r="BEW54" s="254"/>
      <c r="BEX54" s="254"/>
      <c r="BEY54" s="254"/>
      <c r="BEZ54" s="254"/>
      <c r="BFA54" s="254"/>
      <c r="BFB54" s="254"/>
      <c r="BFC54" s="254"/>
      <c r="BFD54" s="254"/>
      <c r="BFE54" s="254"/>
      <c r="BFF54" s="254"/>
      <c r="BFG54" s="254"/>
      <c r="BFH54" s="254"/>
      <c r="BFI54" s="254"/>
      <c r="BFJ54" s="254"/>
      <c r="BFK54" s="254"/>
      <c r="BFL54" s="254"/>
      <c r="BFM54" s="254"/>
      <c r="BFN54" s="254"/>
      <c r="BFO54" s="254"/>
      <c r="BFP54" s="254"/>
      <c r="BFQ54" s="254"/>
      <c r="BFR54" s="254"/>
      <c r="BFS54" s="254"/>
      <c r="BFT54" s="254"/>
      <c r="BFU54" s="254"/>
      <c r="BFV54" s="254"/>
      <c r="BFW54" s="254"/>
      <c r="BFX54" s="254"/>
      <c r="BFY54" s="254"/>
      <c r="BFZ54" s="254"/>
      <c r="BGA54" s="254"/>
      <c r="BGB54" s="254"/>
      <c r="BGC54" s="254"/>
      <c r="BGD54" s="254"/>
      <c r="BGE54" s="254"/>
      <c r="BGF54" s="254"/>
      <c r="BGG54" s="254"/>
      <c r="BGH54" s="254"/>
      <c r="BGI54" s="254"/>
      <c r="BGJ54" s="254"/>
      <c r="BGK54" s="254"/>
      <c r="BGL54" s="254"/>
      <c r="BGM54" s="254"/>
      <c r="BGN54" s="254"/>
      <c r="BGO54" s="254"/>
      <c r="BGP54" s="254"/>
      <c r="BGQ54" s="254"/>
      <c r="BGR54" s="254"/>
      <c r="BGS54" s="254"/>
      <c r="BGT54" s="254"/>
      <c r="BGU54" s="254"/>
      <c r="BGV54" s="254"/>
      <c r="BGW54" s="254"/>
      <c r="BGX54" s="254"/>
      <c r="BGY54" s="254"/>
      <c r="BGZ54" s="254"/>
      <c r="BHA54" s="254"/>
      <c r="BHB54" s="254"/>
      <c r="BHC54" s="254"/>
      <c r="BHD54" s="254"/>
      <c r="BHE54" s="254"/>
      <c r="BHF54" s="254"/>
      <c r="BHG54" s="254"/>
      <c r="BHH54" s="254"/>
      <c r="BHI54" s="254"/>
      <c r="BHJ54" s="254"/>
      <c r="BHK54" s="254"/>
      <c r="BHL54" s="254"/>
      <c r="BHM54" s="254"/>
      <c r="BHN54" s="254"/>
      <c r="BHO54" s="254"/>
      <c r="BHP54" s="254"/>
      <c r="BHQ54" s="254"/>
      <c r="BHR54" s="254"/>
      <c r="BHS54" s="254"/>
      <c r="BHT54" s="254"/>
      <c r="BHU54" s="254"/>
      <c r="BHV54" s="254"/>
      <c r="BHW54" s="254"/>
      <c r="BHX54" s="254"/>
      <c r="BHY54" s="254"/>
      <c r="BHZ54" s="254"/>
      <c r="BIA54" s="254"/>
      <c r="BIB54" s="254"/>
      <c r="BIC54" s="254"/>
      <c r="BID54" s="254"/>
      <c r="BIE54" s="254"/>
      <c r="BIF54" s="254"/>
      <c r="BIG54" s="254"/>
      <c r="BIH54" s="254"/>
      <c r="BII54" s="254"/>
      <c r="BIJ54" s="254"/>
      <c r="BIK54" s="254"/>
      <c r="BIL54" s="254"/>
      <c r="BIM54" s="254"/>
      <c r="BIN54" s="254"/>
      <c r="BIO54" s="254"/>
      <c r="BIP54" s="254"/>
      <c r="BIQ54" s="254"/>
      <c r="BIR54" s="254"/>
      <c r="BIS54" s="254"/>
      <c r="BIT54" s="254"/>
      <c r="BIU54" s="254"/>
      <c r="BIV54" s="254"/>
      <c r="BIW54" s="254"/>
      <c r="BIX54" s="254"/>
      <c r="BIY54" s="254"/>
      <c r="BIZ54" s="254"/>
      <c r="BJA54" s="254"/>
      <c r="BJB54" s="254"/>
      <c r="BJC54" s="254"/>
      <c r="BJD54" s="254"/>
      <c r="BJE54" s="254"/>
      <c r="BJF54" s="254"/>
      <c r="BJG54" s="254"/>
      <c r="BJH54" s="254"/>
      <c r="BJI54" s="254"/>
      <c r="BJJ54" s="254"/>
      <c r="BJK54" s="254"/>
      <c r="BJL54" s="254"/>
      <c r="BJM54" s="254"/>
      <c r="BJN54" s="254"/>
      <c r="BJO54" s="254"/>
      <c r="BJP54" s="254"/>
      <c r="BJQ54" s="254"/>
      <c r="BJR54" s="254"/>
      <c r="BJS54" s="254"/>
      <c r="BJT54" s="254"/>
      <c r="BJU54" s="254"/>
      <c r="BJV54" s="254"/>
      <c r="BJW54" s="254"/>
      <c r="BJX54" s="254"/>
      <c r="BJY54" s="254"/>
      <c r="BJZ54" s="254"/>
      <c r="BKA54" s="254"/>
      <c r="BKB54" s="254"/>
      <c r="BKC54" s="254"/>
      <c r="BKD54" s="254"/>
      <c r="BKE54" s="254"/>
      <c r="BKF54" s="254"/>
      <c r="BKG54" s="254"/>
      <c r="BKH54" s="254"/>
      <c r="BKI54" s="254"/>
      <c r="BKJ54" s="254"/>
      <c r="BKK54" s="254"/>
      <c r="BKL54" s="254"/>
      <c r="BKM54" s="254"/>
      <c r="BKN54" s="254"/>
      <c r="BKO54" s="254"/>
      <c r="BKP54" s="254"/>
      <c r="BKQ54" s="254"/>
      <c r="BKR54" s="254"/>
      <c r="BKS54" s="254"/>
      <c r="BKT54" s="254"/>
      <c r="BKU54" s="254"/>
      <c r="BKV54" s="254"/>
      <c r="BKW54" s="254"/>
      <c r="BKX54" s="254"/>
      <c r="BKY54" s="254"/>
      <c r="BKZ54" s="254"/>
      <c r="BLA54" s="254"/>
      <c r="BLB54" s="254"/>
      <c r="BLC54" s="254"/>
      <c r="BLD54" s="254"/>
      <c r="BLE54" s="254"/>
      <c r="BLF54" s="254"/>
      <c r="BLG54" s="254"/>
      <c r="BLH54" s="254"/>
      <c r="BLI54" s="254"/>
      <c r="BLJ54" s="254"/>
      <c r="BLK54" s="254"/>
      <c r="BLL54" s="254"/>
      <c r="BLM54" s="254"/>
      <c r="BLN54" s="254"/>
      <c r="BLO54" s="254"/>
      <c r="BLP54" s="254"/>
      <c r="BLQ54" s="254"/>
      <c r="BLR54" s="254"/>
      <c r="BLS54" s="254"/>
      <c r="BLT54" s="254"/>
      <c r="BLU54" s="254"/>
      <c r="BLV54" s="254"/>
      <c r="BLW54" s="254"/>
      <c r="BLX54" s="254"/>
      <c r="BLY54" s="254"/>
      <c r="BLZ54" s="254"/>
      <c r="BMA54" s="254"/>
      <c r="BMB54" s="254"/>
      <c r="BMC54" s="254"/>
      <c r="BMD54" s="254"/>
      <c r="BME54" s="254"/>
      <c r="BMF54" s="254"/>
      <c r="BMG54" s="254"/>
      <c r="BMH54" s="254"/>
      <c r="BMI54" s="254"/>
      <c r="BMJ54" s="254"/>
      <c r="BMK54" s="254"/>
      <c r="BML54" s="254"/>
      <c r="BMM54" s="254"/>
      <c r="BMN54" s="254"/>
      <c r="BMO54" s="254"/>
      <c r="BMP54" s="254"/>
      <c r="BMQ54" s="254"/>
      <c r="BMR54" s="254"/>
      <c r="BMS54" s="254"/>
      <c r="BMT54" s="254"/>
      <c r="BMU54" s="254"/>
      <c r="BMV54" s="254"/>
      <c r="BMW54" s="254"/>
      <c r="BMX54" s="254"/>
      <c r="BMY54" s="254"/>
      <c r="BMZ54" s="254"/>
      <c r="BNA54" s="254"/>
      <c r="BNB54" s="254"/>
      <c r="BNC54" s="254"/>
      <c r="BND54" s="254"/>
      <c r="BNE54" s="254"/>
      <c r="BNF54" s="254"/>
      <c r="BNG54" s="254"/>
      <c r="BNH54" s="254"/>
      <c r="BNI54" s="254"/>
      <c r="BNJ54" s="254"/>
      <c r="BNK54" s="254"/>
      <c r="BNL54" s="254"/>
      <c r="BNM54" s="254"/>
      <c r="BNN54" s="254"/>
      <c r="BNO54" s="254"/>
      <c r="BNP54" s="254"/>
      <c r="BNQ54" s="254"/>
      <c r="BNR54" s="254"/>
      <c r="BNS54" s="254"/>
      <c r="BNT54" s="254"/>
      <c r="BNU54" s="254"/>
      <c r="BNV54" s="254"/>
    </row>
    <row r="55" spans="1:1738" x14ac:dyDescent="0.25">
      <c r="A55" s="140" t="s">
        <v>326</v>
      </c>
      <c r="B55" s="15" t="s">
        <v>52</v>
      </c>
      <c r="C55" s="118" t="s">
        <v>115</v>
      </c>
      <c r="D55" s="477">
        <v>29.5</v>
      </c>
      <c r="E55" s="300">
        <v>40</v>
      </c>
      <c r="F55" s="431">
        <v>0.05</v>
      </c>
      <c r="G55" s="243">
        <v>0.44700000000000001</v>
      </c>
      <c r="H55" s="14">
        <v>0.70909999999999995</v>
      </c>
      <c r="I55" s="284">
        <v>5</v>
      </c>
      <c r="J55" s="64">
        <v>0.41176470588235292</v>
      </c>
      <c r="K55" s="244">
        <v>0.5</v>
      </c>
      <c r="L55" s="245">
        <v>7</v>
      </c>
      <c r="M55" s="252">
        <v>0.16949152542372881</v>
      </c>
      <c r="N55" s="440">
        <v>0</v>
      </c>
      <c r="O55" s="440">
        <v>4</v>
      </c>
      <c r="P55" s="440">
        <v>-4</v>
      </c>
      <c r="Q55" s="39"/>
      <c r="R55" s="140" t="s">
        <v>326</v>
      </c>
    </row>
    <row r="56" spans="1:1738" x14ac:dyDescent="0.25">
      <c r="A56" s="140" t="s">
        <v>53</v>
      </c>
      <c r="B56" s="15" t="s">
        <v>54</v>
      </c>
      <c r="C56" s="118">
        <v>77</v>
      </c>
      <c r="D56" s="477">
        <v>40.03</v>
      </c>
      <c r="E56" s="300">
        <v>77</v>
      </c>
      <c r="F56" s="431">
        <v>7.792207792207792E-2</v>
      </c>
      <c r="G56" s="243">
        <v>0.253</v>
      </c>
      <c r="H56" s="14">
        <v>0.61950000000000005</v>
      </c>
      <c r="I56" s="283">
        <v>4.3</v>
      </c>
      <c r="J56" s="244">
        <v>0.23728813559322035</v>
      </c>
      <c r="K56" s="244">
        <v>0.74576271186440679</v>
      </c>
      <c r="L56" s="246">
        <v>18</v>
      </c>
      <c r="M56" s="251">
        <v>0.24981264051961027</v>
      </c>
      <c r="N56" s="440">
        <v>4</v>
      </c>
      <c r="O56" s="440">
        <v>0</v>
      </c>
      <c r="P56" s="440">
        <v>4</v>
      </c>
      <c r="Q56" s="39"/>
      <c r="R56" s="140" t="s">
        <v>53</v>
      </c>
    </row>
    <row r="57" spans="1:1738" x14ac:dyDescent="0.25">
      <c r="A57" s="140" t="s">
        <v>55</v>
      </c>
      <c r="B57" s="15" t="s">
        <v>56</v>
      </c>
      <c r="C57" s="118">
        <v>92</v>
      </c>
      <c r="D57" s="477">
        <v>37</v>
      </c>
      <c r="E57" s="300">
        <v>63</v>
      </c>
      <c r="F57" s="431">
        <v>0.1111111111111111</v>
      </c>
      <c r="G57" s="243">
        <v>0.371</v>
      </c>
      <c r="H57" s="23">
        <v>0.38129999999999997</v>
      </c>
      <c r="I57" s="283">
        <v>3.8</v>
      </c>
      <c r="J57" s="244">
        <v>0.30188679245283018</v>
      </c>
      <c r="K57" s="244">
        <v>0.67924528301886788</v>
      </c>
      <c r="L57" s="246">
        <v>17</v>
      </c>
      <c r="M57" s="251">
        <v>0.29729729729729731</v>
      </c>
      <c r="N57" s="440">
        <v>2</v>
      </c>
      <c r="O57" s="440">
        <v>1</v>
      </c>
      <c r="P57" s="440">
        <v>1</v>
      </c>
      <c r="Q57" s="39"/>
      <c r="R57" s="140" t="s">
        <v>55</v>
      </c>
    </row>
    <row r="58" spans="1:1738" x14ac:dyDescent="0.25">
      <c r="A58" s="140" t="s">
        <v>59</v>
      </c>
      <c r="B58" s="15" t="s">
        <v>60</v>
      </c>
      <c r="C58" s="118">
        <v>105</v>
      </c>
      <c r="D58" s="477">
        <v>16.45</v>
      </c>
      <c r="E58" s="299">
        <v>33</v>
      </c>
      <c r="F58" s="431">
        <v>3.0303030303030304E-2</v>
      </c>
      <c r="G58" s="243">
        <v>0.41699999999999998</v>
      </c>
      <c r="H58" s="23">
        <v>0.76670000000000005</v>
      </c>
      <c r="I58" s="283">
        <v>4.2</v>
      </c>
      <c r="J58" s="244">
        <v>0.6333333333333333</v>
      </c>
      <c r="K58" s="244">
        <v>0.3</v>
      </c>
      <c r="L58" s="246">
        <v>5</v>
      </c>
      <c r="M58" s="252">
        <v>0.24316109422492402</v>
      </c>
      <c r="N58" s="440">
        <v>2</v>
      </c>
      <c r="O58" s="440">
        <v>5</v>
      </c>
      <c r="P58" s="440">
        <v>-3</v>
      </c>
      <c r="Q58" s="39"/>
      <c r="R58" s="140" t="s">
        <v>59</v>
      </c>
    </row>
    <row r="59" spans="1:1738" ht="14.25" customHeight="1" x14ac:dyDescent="0.25">
      <c r="A59" s="140" t="s">
        <v>61</v>
      </c>
      <c r="B59" s="15" t="s">
        <v>62</v>
      </c>
      <c r="C59" s="118">
        <v>107</v>
      </c>
      <c r="D59" s="477">
        <v>44</v>
      </c>
      <c r="E59" s="300">
        <v>84</v>
      </c>
      <c r="F59" s="431">
        <v>2.3809523809523808E-2</v>
      </c>
      <c r="G59" s="243">
        <v>0.10299999999999999</v>
      </c>
      <c r="H59" s="23">
        <v>0.83960000000000001</v>
      </c>
      <c r="I59" s="283">
        <v>4.8</v>
      </c>
      <c r="J59" s="244">
        <v>0.25</v>
      </c>
      <c r="K59" s="244">
        <v>0.73529411764705888</v>
      </c>
      <c r="L59" s="246">
        <v>21</v>
      </c>
      <c r="M59" s="251">
        <v>0.43181818181818182</v>
      </c>
      <c r="N59" s="440">
        <v>5</v>
      </c>
      <c r="O59" s="440">
        <v>1</v>
      </c>
      <c r="P59" s="440">
        <v>4</v>
      </c>
      <c r="Q59" s="39"/>
      <c r="R59" s="140" t="s">
        <v>61</v>
      </c>
    </row>
    <row r="60" spans="1:1738" s="17" customFormat="1" x14ac:dyDescent="0.25">
      <c r="A60" s="140" t="s">
        <v>22</v>
      </c>
      <c r="B60" s="15" t="s">
        <v>167</v>
      </c>
      <c r="C60" s="118" t="s">
        <v>165</v>
      </c>
      <c r="D60" s="477">
        <v>11.7</v>
      </c>
      <c r="E60" s="299">
        <v>22</v>
      </c>
      <c r="F60" s="431">
        <v>0.27272727272727271</v>
      </c>
      <c r="G60" s="243">
        <v>0.47499999999999998</v>
      </c>
      <c r="H60" s="14">
        <v>0.71430000000000005</v>
      </c>
      <c r="I60" s="283">
        <v>5</v>
      </c>
      <c r="J60" s="244">
        <v>0.4</v>
      </c>
      <c r="K60" s="244">
        <v>0.6</v>
      </c>
      <c r="L60" s="246">
        <v>2</v>
      </c>
      <c r="M60" s="251">
        <v>0.17094017094017094</v>
      </c>
      <c r="N60" s="440">
        <v>1</v>
      </c>
      <c r="O60" s="440">
        <v>4</v>
      </c>
      <c r="P60" s="440">
        <v>-3</v>
      </c>
      <c r="Q60" s="15"/>
      <c r="R60" s="140" t="s">
        <v>22</v>
      </c>
    </row>
    <row r="61" spans="1:1738" x14ac:dyDescent="0.25">
      <c r="A61" s="140" t="s">
        <v>65</v>
      </c>
      <c r="B61" s="15" t="s">
        <v>63</v>
      </c>
      <c r="C61" s="118">
        <v>79</v>
      </c>
      <c r="D61" s="477">
        <v>4.25</v>
      </c>
      <c r="E61" s="299">
        <v>17</v>
      </c>
      <c r="F61" s="431">
        <v>0.23529411764705882</v>
      </c>
      <c r="G61" s="243">
        <v>0.23899999999999999</v>
      </c>
      <c r="H61" s="14">
        <v>0.66669999999999996</v>
      </c>
      <c r="I61" s="283">
        <v>4.5999999999999996</v>
      </c>
      <c r="J61" s="244">
        <v>0.35294117647058826</v>
      </c>
      <c r="K61" s="244">
        <v>0.6470588235294118</v>
      </c>
      <c r="L61" s="246">
        <v>6</v>
      </c>
      <c r="M61" s="251">
        <v>0.94117647058823528</v>
      </c>
      <c r="N61" s="440">
        <v>2</v>
      </c>
      <c r="O61" s="440">
        <v>1</v>
      </c>
      <c r="P61" s="440">
        <v>1</v>
      </c>
      <c r="Q61" s="39"/>
      <c r="R61" s="140" t="s">
        <v>65</v>
      </c>
    </row>
    <row r="62" spans="1:1738" ht="13.5" customHeight="1" x14ac:dyDescent="0.25">
      <c r="A62" s="140" t="s">
        <v>23</v>
      </c>
      <c r="B62" s="15" t="s">
        <v>63</v>
      </c>
      <c r="C62" s="118">
        <v>115</v>
      </c>
      <c r="D62" s="477">
        <v>23.7</v>
      </c>
      <c r="E62" s="300">
        <v>83</v>
      </c>
      <c r="F62" s="431">
        <v>0.21686746987951808</v>
      </c>
      <c r="G62" s="243">
        <v>5.0999999999999997E-2</v>
      </c>
      <c r="H62" s="23">
        <v>0.90480000000000005</v>
      </c>
      <c r="I62" s="283">
        <v>5.9</v>
      </c>
      <c r="J62" s="244">
        <v>0.1111111111111111</v>
      </c>
      <c r="K62" s="244">
        <v>0.8666666666666667</v>
      </c>
      <c r="L62" s="246">
        <v>12</v>
      </c>
      <c r="M62" s="252">
        <v>0.33755274261603374</v>
      </c>
      <c r="N62" s="440">
        <v>5</v>
      </c>
      <c r="O62" s="440">
        <v>1</v>
      </c>
      <c r="P62" s="440">
        <v>4</v>
      </c>
      <c r="Q62" s="39"/>
      <c r="R62" s="140" t="s">
        <v>23</v>
      </c>
    </row>
    <row r="63" spans="1:1738" x14ac:dyDescent="0.25">
      <c r="A63" s="140" t="s">
        <v>64</v>
      </c>
      <c r="B63" s="15" t="s">
        <v>63</v>
      </c>
      <c r="C63" s="118">
        <v>120</v>
      </c>
      <c r="D63" s="477">
        <v>13.18</v>
      </c>
      <c r="E63" s="300">
        <v>33</v>
      </c>
      <c r="F63" s="431">
        <v>0.12121212121212122</v>
      </c>
      <c r="G63" s="243">
        <v>0.29099999999999998</v>
      </c>
      <c r="H63" s="23">
        <v>0.91180000000000005</v>
      </c>
      <c r="I63" s="283">
        <v>5</v>
      </c>
      <c r="J63" s="244">
        <v>0.3235294117647059</v>
      </c>
      <c r="K63" s="244">
        <v>0.6470588235294118</v>
      </c>
      <c r="L63" s="246">
        <v>6</v>
      </c>
      <c r="M63" s="251">
        <v>0.30349013657056145</v>
      </c>
      <c r="N63" s="440">
        <v>1</v>
      </c>
      <c r="O63" s="440">
        <v>0</v>
      </c>
      <c r="P63" s="440">
        <v>1</v>
      </c>
      <c r="Q63" s="39"/>
      <c r="R63" s="140" t="s">
        <v>64</v>
      </c>
    </row>
    <row r="64" spans="1:1738" x14ac:dyDescent="0.25">
      <c r="A64" s="140" t="s">
        <v>66</v>
      </c>
      <c r="B64" s="15" t="s">
        <v>67</v>
      </c>
      <c r="C64" s="118">
        <v>137</v>
      </c>
      <c r="D64" s="477">
        <v>79.900000000000006</v>
      </c>
      <c r="E64" s="300">
        <v>32</v>
      </c>
      <c r="F64" s="431">
        <v>6.25E-2</v>
      </c>
      <c r="G64" s="243">
        <v>0.35799999999999998</v>
      </c>
      <c r="H64" s="23">
        <v>0.82350000000000001</v>
      </c>
      <c r="I64" s="283">
        <v>4.8</v>
      </c>
      <c r="J64" s="244">
        <v>0.22857142857142856</v>
      </c>
      <c r="K64" s="244">
        <v>0.74285714285714288</v>
      </c>
      <c r="L64" s="246">
        <v>8</v>
      </c>
      <c r="M64" s="251">
        <v>0.10012515644555695</v>
      </c>
      <c r="N64" s="440">
        <v>3</v>
      </c>
      <c r="O64" s="440">
        <v>1</v>
      </c>
      <c r="P64" s="440">
        <v>2</v>
      </c>
      <c r="Q64" s="39"/>
      <c r="R64" s="140" t="s">
        <v>66</v>
      </c>
    </row>
    <row r="65" spans="1:1738" x14ac:dyDescent="0.25">
      <c r="A65" s="226"/>
      <c r="B65" s="170"/>
      <c r="C65" s="170"/>
      <c r="D65" s="192"/>
      <c r="E65" s="303"/>
      <c r="F65" s="309"/>
      <c r="G65" s="168"/>
      <c r="H65" s="197"/>
      <c r="I65" s="267"/>
      <c r="J65" s="170"/>
      <c r="K65" s="232"/>
      <c r="L65" s="239"/>
      <c r="M65" s="171"/>
      <c r="N65" s="172"/>
      <c r="O65" s="172"/>
      <c r="P65" s="172"/>
      <c r="Q65" s="173"/>
      <c r="R65" s="173"/>
    </row>
    <row r="66" spans="1:1738" s="17" customFormat="1" x14ac:dyDescent="0.25">
      <c r="A66" s="227"/>
      <c r="B66" s="176"/>
      <c r="C66" s="177"/>
      <c r="D66" s="193"/>
      <c r="E66" s="304"/>
      <c r="F66" s="198"/>
      <c r="G66" s="205"/>
      <c r="H66" s="237"/>
      <c r="I66" s="198"/>
      <c r="J66" s="198"/>
      <c r="K66" s="198"/>
      <c r="L66" s="193"/>
      <c r="M66" s="193"/>
      <c r="N66" s="194"/>
      <c r="O66" s="194"/>
      <c r="P66" s="194"/>
      <c r="Q66" s="174"/>
      <c r="R66" s="174"/>
    </row>
    <row r="67" spans="1:1738" s="17" customFormat="1" x14ac:dyDescent="0.25">
      <c r="A67" s="114" t="s">
        <v>144</v>
      </c>
      <c r="B67" s="176"/>
      <c r="C67" s="177"/>
      <c r="D67" s="178"/>
      <c r="E67" s="305"/>
      <c r="F67" s="310"/>
      <c r="G67" s="442"/>
      <c r="H67" s="200"/>
      <c r="I67" s="181"/>
      <c r="J67" s="201"/>
      <c r="K67" s="199"/>
      <c r="L67" s="175"/>
      <c r="M67" s="179"/>
      <c r="N67" s="194"/>
      <c r="O67" s="194"/>
      <c r="P67" s="194"/>
      <c r="Q67" s="174"/>
      <c r="R67" s="114"/>
    </row>
    <row r="68" spans="1:1738" x14ac:dyDescent="0.25">
      <c r="A68" s="709" t="s">
        <v>68</v>
      </c>
      <c r="B68" s="176"/>
      <c r="C68" s="177"/>
      <c r="D68" s="178"/>
      <c r="E68" s="305"/>
      <c r="F68" s="310"/>
      <c r="G68" s="442"/>
      <c r="H68" s="200"/>
      <c r="I68" s="181"/>
      <c r="J68" s="201"/>
      <c r="K68" s="199"/>
      <c r="L68" s="175"/>
      <c r="M68" s="179"/>
      <c r="N68" s="194"/>
      <c r="O68" s="194"/>
      <c r="P68" s="194"/>
      <c r="Q68" s="175"/>
      <c r="R68" s="17"/>
      <c r="S68" s="17"/>
      <c r="T68" s="17"/>
    </row>
    <row r="69" spans="1:1738" s="134" customFormat="1" x14ac:dyDescent="0.25">
      <c r="A69" s="27" t="s">
        <v>86</v>
      </c>
      <c r="B69" s="15" t="s">
        <v>5</v>
      </c>
      <c r="C69" s="72">
        <v>519</v>
      </c>
      <c r="D69" s="16" t="s">
        <v>273</v>
      </c>
      <c r="E69" s="300">
        <v>25</v>
      </c>
      <c r="F69" s="298">
        <v>0.08</v>
      </c>
      <c r="G69" s="287"/>
      <c r="H69" s="14"/>
      <c r="I69" s="285">
        <v>2.2999999999999998</v>
      </c>
      <c r="J69" s="64" t="s">
        <v>273</v>
      </c>
      <c r="K69" s="395" t="s">
        <v>273</v>
      </c>
      <c r="L69" s="245">
        <v>7</v>
      </c>
      <c r="M69" s="203" t="s">
        <v>273</v>
      </c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7"/>
      <c r="KQ69" s="17"/>
      <c r="KR69" s="17"/>
      <c r="KS69" s="17"/>
      <c r="KT69" s="17"/>
      <c r="KU69" s="17"/>
      <c r="KV69" s="17"/>
      <c r="KW69" s="17"/>
      <c r="KX69" s="17"/>
      <c r="KY69" s="17"/>
      <c r="KZ69" s="17"/>
      <c r="LA69" s="17"/>
      <c r="LB69" s="17"/>
      <c r="LC69" s="17"/>
      <c r="LD69" s="17"/>
      <c r="LE69" s="17"/>
      <c r="LF69" s="17"/>
      <c r="LG69" s="17"/>
      <c r="LH69" s="17"/>
      <c r="LI69" s="17"/>
      <c r="LJ69" s="17"/>
      <c r="LK69" s="17"/>
      <c r="LL69" s="17"/>
      <c r="LM69" s="17"/>
      <c r="LN69" s="17"/>
      <c r="LO69" s="17"/>
      <c r="LP69" s="17"/>
      <c r="LQ69" s="17"/>
      <c r="LR69" s="17"/>
      <c r="LS69" s="17"/>
      <c r="LT69" s="17"/>
      <c r="LU69" s="17"/>
      <c r="LV69" s="17"/>
      <c r="LW69" s="17"/>
      <c r="LX69" s="17"/>
      <c r="LY69" s="17"/>
      <c r="LZ69" s="17"/>
      <c r="MA69" s="17"/>
      <c r="MB69" s="17"/>
      <c r="MC69" s="17"/>
      <c r="MD69" s="17"/>
      <c r="ME69" s="17"/>
      <c r="MF69" s="17"/>
      <c r="MG69" s="17"/>
      <c r="MH69" s="17"/>
      <c r="MI69" s="17"/>
      <c r="MJ69" s="17"/>
      <c r="MK69" s="17"/>
      <c r="ML69" s="17"/>
      <c r="MM69" s="17"/>
      <c r="MN69" s="17"/>
      <c r="MO69" s="17"/>
      <c r="MP69" s="17"/>
      <c r="MQ69" s="17"/>
      <c r="MR69" s="17"/>
      <c r="MS69" s="17"/>
      <c r="MT69" s="17"/>
      <c r="MU69" s="17"/>
      <c r="MV69" s="17"/>
      <c r="MW69" s="17"/>
      <c r="MX69" s="17"/>
      <c r="MY69" s="17"/>
      <c r="MZ69" s="17"/>
      <c r="NA69" s="17"/>
      <c r="NB69" s="17"/>
      <c r="NC69" s="17"/>
      <c r="ND69" s="17"/>
      <c r="NE69" s="17"/>
      <c r="NF69" s="17"/>
      <c r="NG69" s="17"/>
      <c r="NH69" s="17"/>
      <c r="NI69" s="17"/>
      <c r="NJ69" s="17"/>
      <c r="NK69" s="17"/>
      <c r="NL69" s="17"/>
      <c r="NM69" s="17"/>
      <c r="NN69" s="17"/>
      <c r="NO69" s="17"/>
      <c r="NP69" s="17"/>
      <c r="NQ69" s="17"/>
      <c r="NR69" s="17"/>
      <c r="NS69" s="17"/>
      <c r="NT69" s="17"/>
      <c r="NU69" s="17"/>
      <c r="NV69" s="17"/>
      <c r="NW69" s="17"/>
      <c r="NX69" s="17"/>
      <c r="NY69" s="17"/>
      <c r="NZ69" s="17"/>
      <c r="OA69" s="17"/>
      <c r="OB69" s="17"/>
      <c r="OC69" s="17"/>
      <c r="OD69" s="17"/>
      <c r="OE69" s="17"/>
      <c r="OF69" s="17"/>
      <c r="OG69" s="17"/>
      <c r="OH69" s="17"/>
      <c r="OI69" s="17"/>
      <c r="OJ69" s="17"/>
      <c r="OK69" s="17"/>
      <c r="OL69" s="17"/>
      <c r="OM69" s="17"/>
      <c r="ON69" s="17"/>
      <c r="OO69" s="17"/>
      <c r="OP69" s="17"/>
      <c r="OQ69" s="17"/>
      <c r="OR69" s="17"/>
      <c r="OS69" s="17"/>
      <c r="OT69" s="17"/>
      <c r="OU69" s="17"/>
      <c r="OV69" s="17"/>
      <c r="OW69" s="17"/>
      <c r="OX69" s="17"/>
      <c r="OY69" s="17"/>
      <c r="OZ69" s="17"/>
      <c r="PA69" s="17"/>
      <c r="PB69" s="17"/>
      <c r="PC69" s="17"/>
      <c r="PD69" s="17"/>
      <c r="PE69" s="17"/>
      <c r="PF69" s="17"/>
      <c r="PG69" s="17"/>
      <c r="PH69" s="17"/>
      <c r="PI69" s="17"/>
      <c r="PJ69" s="17"/>
      <c r="PK69" s="17"/>
      <c r="PL69" s="17"/>
      <c r="PM69" s="17"/>
      <c r="PN69" s="17"/>
      <c r="PO69" s="17"/>
      <c r="PP69" s="17"/>
      <c r="PQ69" s="17"/>
      <c r="PR69" s="17"/>
      <c r="PS69" s="17"/>
      <c r="PT69" s="17"/>
      <c r="PU69" s="17"/>
      <c r="PV69" s="17"/>
      <c r="PW69" s="17"/>
      <c r="PX69" s="17"/>
      <c r="PY69" s="17"/>
      <c r="PZ69" s="17"/>
      <c r="QA69" s="17"/>
      <c r="QB69" s="17"/>
      <c r="QC69" s="17"/>
      <c r="QD69" s="17"/>
      <c r="QE69" s="17"/>
      <c r="QF69" s="17"/>
      <c r="QG69" s="17"/>
      <c r="QH69" s="17"/>
      <c r="QI69" s="17"/>
      <c r="QJ69" s="17"/>
      <c r="QK69" s="17"/>
      <c r="QL69" s="17"/>
      <c r="QM69" s="17"/>
      <c r="QN69" s="17"/>
      <c r="QO69" s="17"/>
      <c r="QP69" s="17"/>
      <c r="QQ69" s="17"/>
      <c r="QR69" s="17"/>
      <c r="QS69" s="17"/>
      <c r="QT69" s="17"/>
      <c r="QU69" s="17"/>
      <c r="QV69" s="17"/>
      <c r="QW69" s="17"/>
      <c r="QX69" s="17"/>
      <c r="QY69" s="17"/>
      <c r="QZ69" s="17"/>
      <c r="RA69" s="17"/>
      <c r="RB69" s="17"/>
      <c r="RC69" s="17"/>
      <c r="RD69" s="17"/>
      <c r="RE69" s="17"/>
      <c r="RF69" s="17"/>
      <c r="RG69" s="17"/>
      <c r="RH69" s="17"/>
      <c r="RI69" s="17"/>
      <c r="RJ69" s="17"/>
      <c r="RK69" s="17"/>
      <c r="RL69" s="17"/>
      <c r="RM69" s="17"/>
      <c r="RN69" s="17"/>
      <c r="RO69" s="17"/>
      <c r="RP69" s="17"/>
      <c r="RQ69" s="17"/>
      <c r="RR69" s="17"/>
      <c r="RS69" s="17"/>
      <c r="RT69" s="17"/>
      <c r="RU69" s="17"/>
      <c r="RV69" s="17"/>
      <c r="RW69" s="17"/>
      <c r="RX69" s="17"/>
      <c r="RY69" s="17"/>
      <c r="RZ69" s="17"/>
      <c r="SA69" s="17"/>
      <c r="SB69" s="17"/>
      <c r="SC69" s="17"/>
      <c r="SD69" s="17"/>
      <c r="SE69" s="17"/>
      <c r="SF69" s="17"/>
      <c r="SG69" s="17"/>
      <c r="SH69" s="17"/>
      <c r="SI69" s="17"/>
      <c r="SJ69" s="17"/>
      <c r="SK69" s="17"/>
      <c r="SL69" s="17"/>
      <c r="SM69" s="17"/>
      <c r="SN69" s="17"/>
      <c r="SO69" s="17"/>
      <c r="SP69" s="17"/>
      <c r="SQ69" s="17"/>
      <c r="SR69" s="17"/>
      <c r="SS69" s="17"/>
      <c r="ST69" s="17"/>
      <c r="SU69" s="17"/>
      <c r="SV69" s="17"/>
      <c r="SW69" s="17"/>
      <c r="SX69" s="17"/>
      <c r="SY69" s="17"/>
      <c r="SZ69" s="17"/>
      <c r="TA69" s="17"/>
      <c r="TB69" s="17"/>
      <c r="TC69" s="17"/>
      <c r="TD69" s="17"/>
      <c r="TE69" s="17"/>
      <c r="TF69" s="17"/>
      <c r="TG69" s="17"/>
      <c r="TH69" s="17"/>
      <c r="TI69" s="17"/>
      <c r="TJ69" s="17"/>
      <c r="TK69" s="17"/>
      <c r="TL69" s="17"/>
      <c r="TM69" s="17"/>
      <c r="TN69" s="17"/>
      <c r="TO69" s="17"/>
      <c r="TP69" s="17"/>
      <c r="TQ69" s="17"/>
      <c r="TR69" s="17"/>
      <c r="TS69" s="17"/>
      <c r="TT69" s="17"/>
      <c r="TU69" s="17"/>
      <c r="TV69" s="17"/>
      <c r="TW69" s="17"/>
      <c r="TX69" s="17"/>
      <c r="TY69" s="17"/>
      <c r="TZ69" s="17"/>
      <c r="UA69" s="17"/>
      <c r="UB69" s="17"/>
      <c r="UC69" s="17"/>
      <c r="UD69" s="17"/>
      <c r="UE69" s="17"/>
      <c r="UF69" s="17"/>
      <c r="UG69" s="17"/>
      <c r="UH69" s="17"/>
      <c r="UI69" s="17"/>
      <c r="UJ69" s="17"/>
      <c r="UK69" s="17"/>
      <c r="UL69" s="17"/>
      <c r="UM69" s="17"/>
      <c r="UN69" s="17"/>
      <c r="UO69" s="17"/>
      <c r="UP69" s="17"/>
      <c r="UQ69" s="17"/>
      <c r="UR69" s="17"/>
      <c r="US69" s="17"/>
      <c r="UT69" s="17"/>
      <c r="UU69" s="17"/>
      <c r="UV69" s="17"/>
      <c r="UW69" s="17"/>
      <c r="UX69" s="17"/>
      <c r="UY69" s="17"/>
      <c r="UZ69" s="17"/>
      <c r="VA69" s="17"/>
      <c r="VB69" s="17"/>
      <c r="VC69" s="17"/>
      <c r="VD69" s="17"/>
      <c r="VE69" s="17"/>
      <c r="VF69" s="17"/>
      <c r="VG69" s="17"/>
      <c r="VH69" s="17"/>
      <c r="VI69" s="17"/>
      <c r="VJ69" s="17"/>
      <c r="VK69" s="17"/>
      <c r="VL69" s="17"/>
      <c r="VM69" s="17"/>
      <c r="VN69" s="17"/>
      <c r="VO69" s="17"/>
      <c r="VP69" s="17"/>
      <c r="VQ69" s="17"/>
      <c r="VR69" s="17"/>
      <c r="VS69" s="17"/>
      <c r="VT69" s="17"/>
      <c r="VU69" s="17"/>
      <c r="VV69" s="17"/>
      <c r="VW69" s="17"/>
      <c r="VX69" s="17"/>
      <c r="VY69" s="17"/>
      <c r="VZ69" s="17"/>
      <c r="WA69" s="17"/>
      <c r="WB69" s="17"/>
      <c r="WC69" s="17"/>
      <c r="WD69" s="17"/>
      <c r="WE69" s="17"/>
      <c r="WF69" s="17"/>
      <c r="WG69" s="17"/>
      <c r="WH69" s="17"/>
      <c r="WI69" s="17"/>
      <c r="WJ69" s="17"/>
      <c r="WK69" s="17"/>
      <c r="WL69" s="17"/>
      <c r="WM69" s="17"/>
      <c r="WN69" s="17"/>
      <c r="WO69" s="17"/>
      <c r="WP69" s="17"/>
      <c r="WQ69" s="17"/>
      <c r="WR69" s="17"/>
      <c r="WS69" s="17"/>
      <c r="WT69" s="17"/>
      <c r="WU69" s="17"/>
      <c r="WV69" s="17"/>
      <c r="WW69" s="17"/>
      <c r="WX69" s="17"/>
      <c r="WY69" s="17"/>
      <c r="WZ69" s="17"/>
      <c r="XA69" s="17"/>
      <c r="XB69" s="17"/>
      <c r="XC69" s="17"/>
      <c r="XD69" s="17"/>
      <c r="XE69" s="17"/>
      <c r="XF69" s="17"/>
      <c r="XG69" s="17"/>
      <c r="XH69" s="17"/>
      <c r="XI69" s="17"/>
      <c r="XJ69" s="17"/>
      <c r="XK69" s="17"/>
      <c r="XL69" s="17"/>
      <c r="XM69" s="17"/>
      <c r="XN69" s="17"/>
      <c r="XO69" s="17"/>
      <c r="XP69" s="17"/>
      <c r="XQ69" s="17"/>
      <c r="XR69" s="17"/>
      <c r="XS69" s="17"/>
      <c r="XT69" s="17"/>
      <c r="XU69" s="17"/>
      <c r="XV69" s="17"/>
      <c r="XW69" s="17"/>
      <c r="XX69" s="17"/>
      <c r="XY69" s="17"/>
      <c r="XZ69" s="17"/>
      <c r="YA69" s="17"/>
      <c r="YB69" s="17"/>
      <c r="YC69" s="17"/>
      <c r="YD69" s="17"/>
      <c r="YE69" s="17"/>
      <c r="YF69" s="17"/>
      <c r="YG69" s="17"/>
      <c r="YH69" s="17"/>
      <c r="YI69" s="17"/>
      <c r="YJ69" s="17"/>
      <c r="YK69" s="17"/>
      <c r="YL69" s="17"/>
      <c r="YM69" s="17"/>
      <c r="YN69" s="17"/>
      <c r="YO69" s="17"/>
      <c r="YP69" s="17"/>
      <c r="YQ69" s="17"/>
      <c r="YR69" s="17"/>
      <c r="YS69" s="17"/>
      <c r="YT69" s="17"/>
      <c r="YU69" s="17"/>
      <c r="YV69" s="17"/>
      <c r="YW69" s="17"/>
      <c r="YX69" s="17"/>
      <c r="YY69" s="17"/>
      <c r="YZ69" s="17"/>
      <c r="ZA69" s="17"/>
      <c r="ZB69" s="17"/>
      <c r="ZC69" s="17"/>
      <c r="ZD69" s="17"/>
      <c r="ZE69" s="17"/>
      <c r="ZF69" s="17"/>
      <c r="ZG69" s="17"/>
      <c r="ZH69" s="17"/>
      <c r="ZI69" s="17"/>
      <c r="ZJ69" s="17"/>
      <c r="ZK69" s="17"/>
      <c r="ZL69" s="17"/>
      <c r="ZM69" s="17"/>
      <c r="ZN69" s="17"/>
      <c r="ZO69" s="17"/>
      <c r="ZP69" s="17"/>
      <c r="ZQ69" s="17"/>
      <c r="ZR69" s="17"/>
      <c r="ZS69" s="17"/>
      <c r="ZT69" s="17"/>
      <c r="ZU69" s="17"/>
      <c r="ZV69" s="17"/>
      <c r="ZW69" s="17"/>
      <c r="ZX69" s="17"/>
      <c r="ZY69" s="17"/>
      <c r="ZZ69" s="17"/>
      <c r="AAA69" s="17"/>
      <c r="AAB69" s="17"/>
      <c r="AAC69" s="17"/>
      <c r="AAD69" s="17"/>
      <c r="AAE69" s="17"/>
      <c r="AAF69" s="17"/>
      <c r="AAG69" s="17"/>
      <c r="AAH69" s="17"/>
      <c r="AAI69" s="17"/>
      <c r="AAJ69" s="17"/>
      <c r="AAK69" s="17"/>
      <c r="AAL69" s="17"/>
      <c r="AAM69" s="17"/>
      <c r="AAN69" s="17"/>
      <c r="AAO69" s="17"/>
      <c r="AAP69" s="17"/>
      <c r="AAQ69" s="17"/>
      <c r="AAR69" s="17"/>
      <c r="AAS69" s="17"/>
      <c r="AAT69" s="17"/>
      <c r="AAU69" s="17"/>
      <c r="AAV69" s="17"/>
      <c r="AAW69" s="17"/>
      <c r="AAX69" s="17"/>
      <c r="AAY69" s="17"/>
      <c r="AAZ69" s="17"/>
      <c r="ABA69" s="17"/>
      <c r="ABB69" s="17"/>
      <c r="ABC69" s="17"/>
      <c r="ABD69" s="17"/>
      <c r="ABE69" s="17"/>
      <c r="ABF69" s="17"/>
      <c r="ABG69" s="17"/>
      <c r="ABH69" s="17"/>
      <c r="ABI69" s="17"/>
      <c r="ABJ69" s="17"/>
      <c r="ABK69" s="17"/>
      <c r="ABL69" s="17"/>
      <c r="ABM69" s="17"/>
      <c r="ABN69" s="17"/>
      <c r="ABO69" s="17"/>
      <c r="ABP69" s="17"/>
      <c r="ABQ69" s="17"/>
      <c r="ABR69" s="17"/>
      <c r="ABS69" s="17"/>
      <c r="ABT69" s="17"/>
      <c r="ABU69" s="17"/>
      <c r="ABV69" s="17"/>
      <c r="ABW69" s="17"/>
      <c r="ABX69" s="17"/>
      <c r="ABY69" s="17"/>
      <c r="ABZ69" s="17"/>
      <c r="ACA69" s="17"/>
      <c r="ACB69" s="17"/>
      <c r="ACC69" s="17"/>
      <c r="ACD69" s="17"/>
      <c r="ACE69" s="17"/>
      <c r="ACF69" s="17"/>
      <c r="ACG69" s="17"/>
      <c r="ACH69" s="17"/>
      <c r="ACI69" s="17"/>
      <c r="ACJ69" s="17"/>
      <c r="ACK69" s="17"/>
      <c r="ACL69" s="17"/>
      <c r="ACM69" s="17"/>
      <c r="ACN69" s="17"/>
      <c r="ACO69" s="17"/>
      <c r="ACP69" s="17"/>
      <c r="ACQ69" s="17"/>
      <c r="ACR69" s="17"/>
      <c r="ACS69" s="17"/>
      <c r="ACT69" s="17"/>
      <c r="ACU69" s="17"/>
      <c r="ACV69" s="17"/>
      <c r="ACW69" s="17"/>
      <c r="ACX69" s="17"/>
      <c r="ACY69" s="17"/>
      <c r="ACZ69" s="17"/>
      <c r="ADA69" s="17"/>
      <c r="ADB69" s="17"/>
      <c r="ADC69" s="17"/>
      <c r="ADD69" s="17"/>
      <c r="ADE69" s="17"/>
      <c r="ADF69" s="17"/>
      <c r="ADG69" s="17"/>
      <c r="ADH69" s="17"/>
      <c r="ADI69" s="17"/>
      <c r="ADJ69" s="17"/>
      <c r="ADK69" s="17"/>
      <c r="ADL69" s="17"/>
      <c r="ADM69" s="17"/>
      <c r="ADN69" s="17"/>
      <c r="ADO69" s="17"/>
      <c r="ADP69" s="17"/>
      <c r="ADQ69" s="17"/>
      <c r="ADR69" s="17"/>
      <c r="ADS69" s="17"/>
      <c r="ADT69" s="17"/>
      <c r="ADU69" s="17"/>
      <c r="ADV69" s="17"/>
      <c r="ADW69" s="17"/>
      <c r="ADX69" s="17"/>
      <c r="ADY69" s="17"/>
      <c r="ADZ69" s="17"/>
      <c r="AEA69" s="17"/>
      <c r="AEB69" s="17"/>
      <c r="AEC69" s="17"/>
      <c r="AED69" s="17"/>
      <c r="AEE69" s="17"/>
      <c r="AEF69" s="17"/>
      <c r="AEG69" s="17"/>
      <c r="AEH69" s="17"/>
      <c r="AEI69" s="17"/>
      <c r="AEJ69" s="17"/>
      <c r="AEK69" s="17"/>
      <c r="AEL69" s="17"/>
      <c r="AEM69" s="17"/>
      <c r="AEN69" s="17"/>
      <c r="AEO69" s="17"/>
      <c r="AEP69" s="17"/>
      <c r="AEQ69" s="17"/>
      <c r="AER69" s="17"/>
      <c r="AES69" s="17"/>
      <c r="AET69" s="17"/>
      <c r="AEU69" s="17"/>
      <c r="AEV69" s="17"/>
      <c r="AEW69" s="17"/>
      <c r="AEX69" s="17"/>
      <c r="AEY69" s="17"/>
      <c r="AEZ69" s="17"/>
      <c r="AFA69" s="17"/>
      <c r="AFB69" s="17"/>
      <c r="AFC69" s="17"/>
      <c r="AFD69" s="17"/>
      <c r="AFE69" s="17"/>
      <c r="AFF69" s="17"/>
      <c r="AFG69" s="17"/>
      <c r="AFH69" s="17"/>
      <c r="AFI69" s="17"/>
      <c r="AFJ69" s="17"/>
      <c r="AFK69" s="17"/>
      <c r="AFL69" s="17"/>
      <c r="AFM69" s="17"/>
      <c r="AFN69" s="17"/>
      <c r="AFO69" s="17"/>
      <c r="AFP69" s="17"/>
      <c r="AFQ69" s="17"/>
      <c r="AFR69" s="17"/>
      <c r="AFS69" s="17"/>
      <c r="AFT69" s="17"/>
      <c r="AFU69" s="17"/>
      <c r="AFV69" s="17"/>
      <c r="AFW69" s="17"/>
      <c r="AFX69" s="17"/>
      <c r="AFY69" s="17"/>
      <c r="AFZ69" s="17"/>
      <c r="AGA69" s="17"/>
      <c r="AGB69" s="17"/>
      <c r="AGC69" s="17"/>
      <c r="AGD69" s="17"/>
      <c r="AGE69" s="17"/>
      <c r="AGF69" s="17"/>
      <c r="AGG69" s="17"/>
      <c r="AGH69" s="17"/>
      <c r="AGI69" s="17"/>
      <c r="AGJ69" s="17"/>
      <c r="AGK69" s="17"/>
      <c r="AGL69" s="17"/>
      <c r="AGM69" s="17"/>
      <c r="AGN69" s="17"/>
      <c r="AGO69" s="17"/>
      <c r="AGP69" s="17"/>
      <c r="AGQ69" s="17"/>
      <c r="AGR69" s="17"/>
      <c r="AGS69" s="17"/>
      <c r="AGT69" s="17"/>
      <c r="AGU69" s="17"/>
      <c r="AGV69" s="17"/>
      <c r="AGW69" s="17"/>
      <c r="AGX69" s="17"/>
      <c r="AGY69" s="17"/>
      <c r="AGZ69" s="17"/>
      <c r="AHA69" s="17"/>
      <c r="AHB69" s="17"/>
      <c r="AHC69" s="17"/>
      <c r="AHD69" s="17"/>
      <c r="AHE69" s="17"/>
      <c r="AHF69" s="17"/>
      <c r="AHG69" s="17"/>
      <c r="AHH69" s="17"/>
      <c r="AHI69" s="17"/>
      <c r="AHJ69" s="17"/>
      <c r="AHK69" s="17"/>
      <c r="AHL69" s="17"/>
      <c r="AHM69" s="17"/>
      <c r="AHN69" s="17"/>
      <c r="AHO69" s="17"/>
      <c r="AHP69" s="17"/>
      <c r="AHQ69" s="17"/>
      <c r="AHR69" s="17"/>
      <c r="AHS69" s="17"/>
      <c r="AHT69" s="17"/>
      <c r="AHU69" s="17"/>
      <c r="AHV69" s="17"/>
      <c r="AHW69" s="17"/>
      <c r="AHX69" s="17"/>
      <c r="AHY69" s="17"/>
      <c r="AHZ69" s="17"/>
      <c r="AIA69" s="17"/>
      <c r="AIB69" s="17"/>
      <c r="AIC69" s="17"/>
      <c r="AID69" s="17"/>
      <c r="AIE69" s="17"/>
      <c r="AIF69" s="17"/>
      <c r="AIG69" s="17"/>
      <c r="AIH69" s="17"/>
      <c r="AII69" s="17"/>
      <c r="AIJ69" s="17"/>
      <c r="AIK69" s="17"/>
      <c r="AIL69" s="17"/>
      <c r="AIM69" s="17"/>
      <c r="AIN69" s="17"/>
      <c r="AIO69" s="17"/>
      <c r="AIP69" s="17"/>
      <c r="AIQ69" s="17"/>
      <c r="AIR69" s="17"/>
      <c r="AIS69" s="17"/>
      <c r="AIT69" s="17"/>
      <c r="AIU69" s="17"/>
      <c r="AIV69" s="17"/>
      <c r="AIW69" s="17"/>
      <c r="AIX69" s="17"/>
      <c r="AIY69" s="17"/>
      <c r="AIZ69" s="17"/>
      <c r="AJA69" s="17"/>
      <c r="AJB69" s="17"/>
      <c r="AJC69" s="17"/>
      <c r="AJD69" s="17"/>
      <c r="AJE69" s="17"/>
      <c r="AJF69" s="17"/>
      <c r="AJG69" s="17"/>
      <c r="AJH69" s="17"/>
      <c r="AJI69" s="17"/>
      <c r="AJJ69" s="17"/>
      <c r="AJK69" s="17"/>
      <c r="AJL69" s="17"/>
      <c r="AJM69" s="17"/>
      <c r="AJN69" s="17"/>
      <c r="AJO69" s="17"/>
      <c r="AJP69" s="17"/>
      <c r="AJQ69" s="17"/>
      <c r="AJR69" s="17"/>
      <c r="AJS69" s="17"/>
      <c r="AJT69" s="17"/>
      <c r="AJU69" s="17"/>
      <c r="AJV69" s="17"/>
      <c r="AJW69" s="17"/>
      <c r="AJX69" s="17"/>
      <c r="AJY69" s="17"/>
      <c r="AJZ69" s="17"/>
      <c r="AKA69" s="17"/>
      <c r="AKB69" s="17"/>
      <c r="AKC69" s="17"/>
      <c r="AKD69" s="17"/>
      <c r="AKE69" s="17"/>
      <c r="AKF69" s="17"/>
      <c r="AKG69" s="17"/>
      <c r="AKH69" s="17"/>
      <c r="AKI69" s="17"/>
      <c r="AKJ69" s="17"/>
      <c r="AKK69" s="17"/>
      <c r="AKL69" s="17"/>
      <c r="AKM69" s="17"/>
      <c r="AKN69" s="17"/>
      <c r="AKO69" s="17"/>
      <c r="AKP69" s="17"/>
      <c r="AKQ69" s="17"/>
      <c r="AKR69" s="17"/>
      <c r="AKS69" s="17"/>
      <c r="AKT69" s="17"/>
      <c r="AKU69" s="17"/>
      <c r="AKV69" s="17"/>
      <c r="AKW69" s="17"/>
      <c r="AKX69" s="17"/>
      <c r="AKY69" s="17"/>
      <c r="AKZ69" s="17"/>
      <c r="ALA69" s="17"/>
      <c r="ALB69" s="17"/>
      <c r="ALC69" s="17"/>
      <c r="ALD69" s="17"/>
      <c r="ALE69" s="17"/>
      <c r="ALF69" s="17"/>
      <c r="ALG69" s="17"/>
      <c r="ALH69" s="17"/>
      <c r="ALI69" s="17"/>
      <c r="ALJ69" s="17"/>
      <c r="ALK69" s="17"/>
      <c r="ALL69" s="17"/>
      <c r="ALM69" s="17"/>
      <c r="ALN69" s="17"/>
      <c r="ALO69" s="17"/>
      <c r="ALP69" s="17"/>
      <c r="ALQ69" s="17"/>
      <c r="ALR69" s="17"/>
      <c r="ALS69" s="17"/>
      <c r="ALT69" s="17"/>
      <c r="ALU69" s="17"/>
      <c r="ALV69" s="17"/>
      <c r="ALW69" s="17"/>
      <c r="ALX69" s="17"/>
      <c r="ALY69" s="17"/>
      <c r="ALZ69" s="17"/>
      <c r="AMA69" s="17"/>
      <c r="AMB69" s="17"/>
      <c r="AMC69" s="17"/>
      <c r="AMD69" s="17"/>
      <c r="AME69" s="17"/>
      <c r="AMF69" s="17"/>
      <c r="AMG69" s="17"/>
      <c r="AMH69" s="17"/>
      <c r="AMI69" s="17"/>
      <c r="AMJ69" s="17"/>
      <c r="AMK69" s="17"/>
      <c r="AML69" s="17"/>
      <c r="AMM69" s="17"/>
      <c r="AMN69" s="17"/>
      <c r="AMO69" s="17"/>
      <c r="AMP69" s="17"/>
      <c r="AMQ69" s="17"/>
      <c r="AMR69" s="17"/>
      <c r="AMS69" s="17"/>
      <c r="AMT69" s="17"/>
      <c r="AMU69" s="17"/>
      <c r="AMV69" s="17"/>
      <c r="AMW69" s="17"/>
      <c r="AMX69" s="17"/>
      <c r="AMY69" s="17"/>
      <c r="AMZ69" s="17"/>
      <c r="ANA69" s="17"/>
      <c r="ANB69" s="17"/>
      <c r="ANC69" s="17"/>
      <c r="AND69" s="17"/>
      <c r="ANE69" s="17"/>
      <c r="ANF69" s="17"/>
      <c r="ANG69" s="17"/>
      <c r="ANH69" s="17"/>
      <c r="ANI69" s="17"/>
      <c r="ANJ69" s="17"/>
      <c r="ANK69" s="17"/>
      <c r="ANL69" s="17"/>
      <c r="ANM69" s="17"/>
      <c r="ANN69" s="17"/>
      <c r="ANO69" s="17"/>
      <c r="ANP69" s="17"/>
      <c r="ANQ69" s="17"/>
      <c r="ANR69" s="17"/>
      <c r="ANS69" s="17"/>
      <c r="ANT69" s="17"/>
      <c r="ANU69" s="17"/>
      <c r="ANV69" s="17"/>
      <c r="ANW69" s="17"/>
      <c r="ANX69" s="17"/>
      <c r="ANY69" s="17"/>
      <c r="ANZ69" s="17"/>
      <c r="AOA69" s="17"/>
      <c r="AOB69" s="17"/>
      <c r="AOC69" s="17"/>
      <c r="AOD69" s="17"/>
      <c r="AOE69" s="17"/>
      <c r="AOF69" s="17"/>
      <c r="AOG69" s="17"/>
      <c r="AOH69" s="17"/>
      <c r="AOI69" s="17"/>
      <c r="AOJ69" s="17"/>
      <c r="AOK69" s="17"/>
      <c r="AOL69" s="17"/>
      <c r="AOM69" s="17"/>
      <c r="AON69" s="17"/>
      <c r="AOO69" s="17"/>
      <c r="AOP69" s="17"/>
      <c r="AOQ69" s="17"/>
      <c r="AOR69" s="17"/>
      <c r="AOS69" s="17"/>
      <c r="AOT69" s="17"/>
      <c r="AOU69" s="17"/>
      <c r="AOV69" s="17"/>
      <c r="AOW69" s="17"/>
      <c r="AOX69" s="17"/>
      <c r="AOY69" s="17"/>
      <c r="AOZ69" s="17"/>
      <c r="APA69" s="17"/>
      <c r="APB69" s="17"/>
      <c r="APC69" s="17"/>
      <c r="APD69" s="17"/>
      <c r="APE69" s="17"/>
      <c r="APF69" s="17"/>
      <c r="APG69" s="17"/>
      <c r="APH69" s="17"/>
      <c r="API69" s="17"/>
      <c r="APJ69" s="17"/>
      <c r="APK69" s="17"/>
      <c r="APL69" s="17"/>
      <c r="APM69" s="17"/>
      <c r="APN69" s="17"/>
      <c r="APO69" s="17"/>
      <c r="APP69" s="17"/>
      <c r="APQ69" s="17"/>
      <c r="APR69" s="17"/>
      <c r="APS69" s="17"/>
      <c r="APT69" s="17"/>
      <c r="APU69" s="17"/>
      <c r="APV69" s="17"/>
      <c r="APW69" s="17"/>
      <c r="APX69" s="17"/>
      <c r="APY69" s="17"/>
      <c r="APZ69" s="17"/>
      <c r="AQA69" s="17"/>
      <c r="AQB69" s="17"/>
      <c r="AQC69" s="17"/>
      <c r="AQD69" s="17"/>
      <c r="AQE69" s="17"/>
      <c r="AQF69" s="17"/>
      <c r="AQG69" s="17"/>
      <c r="AQH69" s="17"/>
      <c r="AQI69" s="17"/>
      <c r="AQJ69" s="17"/>
      <c r="AQK69" s="17"/>
      <c r="AQL69" s="17"/>
      <c r="AQM69" s="17"/>
      <c r="AQN69" s="17"/>
      <c r="AQO69" s="17"/>
      <c r="AQP69" s="17"/>
      <c r="AQQ69" s="17"/>
      <c r="AQR69" s="17"/>
      <c r="AQS69" s="17"/>
      <c r="AQT69" s="17"/>
      <c r="AQU69" s="17"/>
      <c r="AQV69" s="17"/>
      <c r="AQW69" s="17"/>
      <c r="AQX69" s="17"/>
      <c r="AQY69" s="17"/>
      <c r="AQZ69" s="17"/>
      <c r="ARA69" s="17"/>
      <c r="ARB69" s="17"/>
      <c r="ARC69" s="17"/>
      <c r="ARD69" s="17"/>
      <c r="ARE69" s="17"/>
      <c r="ARF69" s="17"/>
      <c r="ARG69" s="17"/>
      <c r="ARH69" s="17"/>
      <c r="ARI69" s="17"/>
      <c r="ARJ69" s="17"/>
      <c r="ARK69" s="17"/>
      <c r="ARL69" s="17"/>
      <c r="ARM69" s="17"/>
      <c r="ARN69" s="17"/>
      <c r="ARO69" s="17"/>
      <c r="ARP69" s="17"/>
      <c r="ARQ69" s="17"/>
      <c r="ARR69" s="17"/>
      <c r="ARS69" s="17"/>
      <c r="ART69" s="17"/>
      <c r="ARU69" s="17"/>
      <c r="ARV69" s="17"/>
      <c r="ARW69" s="17"/>
      <c r="ARX69" s="17"/>
      <c r="ARY69" s="17"/>
      <c r="ARZ69" s="17"/>
      <c r="ASA69" s="17"/>
      <c r="ASB69" s="17"/>
      <c r="ASC69" s="17"/>
      <c r="ASD69" s="17"/>
      <c r="ASE69" s="17"/>
      <c r="ASF69" s="17"/>
      <c r="ASG69" s="17"/>
      <c r="ASH69" s="17"/>
      <c r="ASI69" s="17"/>
      <c r="ASJ69" s="17"/>
      <c r="ASK69" s="17"/>
      <c r="ASL69" s="17"/>
      <c r="ASM69" s="17"/>
      <c r="ASN69" s="17"/>
      <c r="ASO69" s="17"/>
      <c r="ASP69" s="17"/>
      <c r="ASQ69" s="17"/>
      <c r="ASR69" s="17"/>
      <c r="ASS69" s="17"/>
      <c r="AST69" s="17"/>
      <c r="ASU69" s="17"/>
      <c r="ASV69" s="17"/>
      <c r="ASW69" s="17"/>
      <c r="ASX69" s="17"/>
      <c r="ASY69" s="17"/>
      <c r="ASZ69" s="17"/>
      <c r="ATA69" s="17"/>
      <c r="ATB69" s="17"/>
      <c r="ATC69" s="17"/>
      <c r="ATD69" s="17"/>
      <c r="ATE69" s="17"/>
      <c r="ATF69" s="17"/>
      <c r="ATG69" s="17"/>
      <c r="ATH69" s="17"/>
      <c r="ATI69" s="17"/>
      <c r="ATJ69" s="17"/>
      <c r="ATK69" s="17"/>
      <c r="ATL69" s="17"/>
      <c r="ATM69" s="17"/>
      <c r="ATN69" s="17"/>
      <c r="ATO69" s="17"/>
      <c r="ATP69" s="17"/>
      <c r="ATQ69" s="17"/>
      <c r="ATR69" s="17"/>
      <c r="ATS69" s="17"/>
      <c r="ATT69" s="17"/>
      <c r="ATU69" s="17"/>
      <c r="ATV69" s="17"/>
      <c r="ATW69" s="17"/>
      <c r="ATX69" s="17"/>
      <c r="ATY69" s="17"/>
      <c r="ATZ69" s="17"/>
      <c r="AUA69" s="17"/>
      <c r="AUB69" s="17"/>
      <c r="AUC69" s="17"/>
      <c r="AUD69" s="17"/>
      <c r="AUE69" s="17"/>
      <c r="AUF69" s="17"/>
      <c r="AUG69" s="17"/>
      <c r="AUH69" s="17"/>
      <c r="AUI69" s="17"/>
      <c r="AUJ69" s="17"/>
      <c r="AUK69" s="17"/>
      <c r="AUL69" s="17"/>
      <c r="AUM69" s="17"/>
      <c r="AUN69" s="17"/>
      <c r="AUO69" s="17"/>
      <c r="AUP69" s="17"/>
      <c r="AUQ69" s="17"/>
      <c r="AUR69" s="17"/>
      <c r="AUS69" s="17"/>
      <c r="AUT69" s="17"/>
      <c r="AUU69" s="17"/>
      <c r="AUV69" s="17"/>
      <c r="AUW69" s="17"/>
      <c r="AUX69" s="17"/>
      <c r="AUY69" s="17"/>
      <c r="AUZ69" s="17"/>
      <c r="AVA69" s="17"/>
      <c r="AVB69" s="17"/>
      <c r="AVC69" s="17"/>
      <c r="AVD69" s="17"/>
      <c r="AVE69" s="17"/>
      <c r="AVF69" s="17"/>
      <c r="AVG69" s="17"/>
      <c r="AVH69" s="17"/>
      <c r="AVI69" s="17"/>
      <c r="AVJ69" s="17"/>
      <c r="AVK69" s="17"/>
      <c r="AVL69" s="17"/>
      <c r="AVM69" s="17"/>
      <c r="AVN69" s="17"/>
      <c r="AVO69" s="17"/>
      <c r="AVP69" s="17"/>
      <c r="AVQ69" s="17"/>
      <c r="AVR69" s="17"/>
      <c r="AVS69" s="17"/>
      <c r="AVT69" s="17"/>
      <c r="AVU69" s="17"/>
      <c r="AVV69" s="17"/>
      <c r="AVW69" s="17"/>
      <c r="AVX69" s="17"/>
      <c r="AVY69" s="17"/>
      <c r="AVZ69" s="17"/>
      <c r="AWA69" s="17"/>
      <c r="AWB69" s="17"/>
      <c r="AWC69" s="17"/>
      <c r="AWD69" s="17"/>
      <c r="AWE69" s="17"/>
      <c r="AWF69" s="17"/>
      <c r="AWG69" s="17"/>
      <c r="AWH69" s="17"/>
      <c r="AWI69" s="17"/>
      <c r="AWJ69" s="17"/>
      <c r="AWK69" s="17"/>
      <c r="AWL69" s="17"/>
      <c r="AWM69" s="17"/>
      <c r="AWN69" s="17"/>
      <c r="AWO69" s="17"/>
      <c r="AWP69" s="17"/>
      <c r="AWQ69" s="17"/>
      <c r="AWR69" s="17"/>
      <c r="AWS69" s="17"/>
      <c r="AWT69" s="17"/>
      <c r="AWU69" s="17"/>
      <c r="AWV69" s="17"/>
      <c r="AWW69" s="17"/>
      <c r="AWX69" s="17"/>
      <c r="AWY69" s="17"/>
      <c r="AWZ69" s="17"/>
      <c r="AXA69" s="17"/>
      <c r="AXB69" s="17"/>
      <c r="AXC69" s="17"/>
      <c r="AXD69" s="17"/>
      <c r="AXE69" s="17"/>
      <c r="AXF69" s="17"/>
      <c r="AXG69" s="17"/>
      <c r="AXH69" s="17"/>
      <c r="AXI69" s="17"/>
      <c r="AXJ69" s="17"/>
      <c r="AXK69" s="17"/>
      <c r="AXL69" s="17"/>
      <c r="AXM69" s="17"/>
      <c r="AXN69" s="17"/>
      <c r="AXO69" s="17"/>
      <c r="AXP69" s="17"/>
      <c r="AXQ69" s="17"/>
      <c r="AXR69" s="17"/>
      <c r="AXS69" s="17"/>
      <c r="AXT69" s="17"/>
      <c r="AXU69" s="17"/>
      <c r="AXV69" s="17"/>
      <c r="AXW69" s="17"/>
      <c r="AXX69" s="17"/>
      <c r="AXY69" s="17"/>
      <c r="AXZ69" s="17"/>
      <c r="AYA69" s="17"/>
      <c r="AYB69" s="17"/>
      <c r="AYC69" s="17"/>
      <c r="AYD69" s="17"/>
      <c r="AYE69" s="17"/>
      <c r="AYF69" s="17"/>
      <c r="AYG69" s="17"/>
      <c r="AYH69" s="17"/>
      <c r="AYI69" s="17"/>
      <c r="AYJ69" s="17"/>
      <c r="AYK69" s="17"/>
      <c r="AYL69" s="17"/>
      <c r="AYM69" s="17"/>
      <c r="AYN69" s="17"/>
      <c r="AYO69" s="17"/>
      <c r="AYP69" s="17"/>
      <c r="AYQ69" s="17"/>
      <c r="AYR69" s="17"/>
      <c r="AYS69" s="17"/>
      <c r="AYT69" s="17"/>
      <c r="AYU69" s="17"/>
      <c r="AYV69" s="17"/>
      <c r="AYW69" s="17"/>
      <c r="AYX69" s="17"/>
      <c r="AYY69" s="17"/>
      <c r="AYZ69" s="17"/>
      <c r="AZA69" s="17"/>
      <c r="AZB69" s="17"/>
      <c r="AZC69" s="17"/>
      <c r="AZD69" s="17"/>
      <c r="AZE69" s="17"/>
      <c r="AZF69" s="17"/>
      <c r="AZG69" s="17"/>
      <c r="AZH69" s="17"/>
      <c r="AZI69" s="17"/>
      <c r="AZJ69" s="17"/>
      <c r="AZK69" s="17"/>
      <c r="AZL69" s="17"/>
      <c r="AZM69" s="17"/>
      <c r="AZN69" s="17"/>
      <c r="AZO69" s="17"/>
      <c r="AZP69" s="17"/>
      <c r="AZQ69" s="17"/>
      <c r="AZR69" s="17"/>
      <c r="AZS69" s="17"/>
      <c r="AZT69" s="17"/>
      <c r="AZU69" s="17"/>
      <c r="AZV69" s="17"/>
      <c r="AZW69" s="17"/>
      <c r="AZX69" s="17"/>
      <c r="AZY69" s="17"/>
      <c r="AZZ69" s="17"/>
      <c r="BAA69" s="17"/>
      <c r="BAB69" s="17"/>
      <c r="BAC69" s="17"/>
      <c r="BAD69" s="17"/>
      <c r="BAE69" s="17"/>
      <c r="BAF69" s="17"/>
      <c r="BAG69" s="17"/>
      <c r="BAH69" s="17"/>
      <c r="BAI69" s="17"/>
      <c r="BAJ69" s="17"/>
      <c r="BAK69" s="17"/>
      <c r="BAL69" s="17"/>
      <c r="BAM69" s="17"/>
      <c r="BAN69" s="17"/>
      <c r="BAO69" s="17"/>
      <c r="BAP69" s="17"/>
      <c r="BAQ69" s="17"/>
      <c r="BAR69" s="17"/>
      <c r="BAS69" s="17"/>
      <c r="BAT69" s="17"/>
      <c r="BAU69" s="17"/>
      <c r="BAV69" s="17"/>
      <c r="BAW69" s="17"/>
      <c r="BAX69" s="17"/>
      <c r="BAY69" s="17"/>
      <c r="BAZ69" s="17"/>
      <c r="BBA69" s="17"/>
      <c r="BBB69" s="17"/>
      <c r="BBC69" s="17"/>
      <c r="BBD69" s="17"/>
      <c r="BBE69" s="17"/>
      <c r="BBF69" s="17"/>
      <c r="BBG69" s="17"/>
      <c r="BBH69" s="17"/>
      <c r="BBI69" s="17"/>
      <c r="BBJ69" s="17"/>
      <c r="BBK69" s="17"/>
      <c r="BBL69" s="17"/>
      <c r="BBM69" s="17"/>
      <c r="BBN69" s="17"/>
      <c r="BBO69" s="17"/>
      <c r="BBP69" s="17"/>
      <c r="BBQ69" s="17"/>
      <c r="BBR69" s="17"/>
      <c r="BBS69" s="17"/>
      <c r="BBT69" s="17"/>
      <c r="BBU69" s="17"/>
      <c r="BBV69" s="17"/>
      <c r="BBW69" s="17"/>
      <c r="BBX69" s="17"/>
      <c r="BBY69" s="17"/>
      <c r="BBZ69" s="17"/>
      <c r="BCA69" s="17"/>
      <c r="BCB69" s="17"/>
      <c r="BCC69" s="17"/>
      <c r="BCD69" s="17"/>
      <c r="BCE69" s="17"/>
      <c r="BCF69" s="17"/>
      <c r="BCG69" s="17"/>
      <c r="BCH69" s="17"/>
      <c r="BCI69" s="17"/>
      <c r="BCJ69" s="17"/>
      <c r="BCK69" s="17"/>
      <c r="BCL69" s="17"/>
      <c r="BCM69" s="17"/>
      <c r="BCN69" s="17"/>
      <c r="BCO69" s="17"/>
      <c r="BCP69" s="17"/>
      <c r="BCQ69" s="17"/>
      <c r="BCR69" s="17"/>
      <c r="BCS69" s="17"/>
      <c r="BCT69" s="17"/>
      <c r="BCU69" s="17"/>
      <c r="BCV69" s="17"/>
      <c r="BCW69" s="17"/>
      <c r="BCX69" s="17"/>
      <c r="BCY69" s="17"/>
      <c r="BCZ69" s="17"/>
      <c r="BDA69" s="17"/>
      <c r="BDB69" s="17"/>
      <c r="BDC69" s="17"/>
      <c r="BDD69" s="17"/>
      <c r="BDE69" s="17"/>
      <c r="BDF69" s="17"/>
      <c r="BDG69" s="17"/>
      <c r="BDH69" s="17"/>
      <c r="BDI69" s="17"/>
      <c r="BDJ69" s="17"/>
      <c r="BDK69" s="17"/>
      <c r="BDL69" s="17"/>
      <c r="BDM69" s="17"/>
      <c r="BDN69" s="17"/>
      <c r="BDO69" s="17"/>
      <c r="BDP69" s="17"/>
      <c r="BDQ69" s="17"/>
      <c r="BDR69" s="17"/>
      <c r="BDS69" s="17"/>
      <c r="BDT69" s="17"/>
      <c r="BDU69" s="17"/>
      <c r="BDV69" s="17"/>
      <c r="BDW69" s="17"/>
      <c r="BDX69" s="17"/>
      <c r="BDY69" s="17"/>
      <c r="BDZ69" s="17"/>
      <c r="BEA69" s="17"/>
      <c r="BEB69" s="17"/>
      <c r="BEC69" s="17"/>
      <c r="BED69" s="17"/>
      <c r="BEE69" s="17"/>
      <c r="BEF69" s="17"/>
      <c r="BEG69" s="17"/>
      <c r="BEH69" s="17"/>
      <c r="BEI69" s="17"/>
      <c r="BEJ69" s="17"/>
      <c r="BEK69" s="17"/>
      <c r="BEL69" s="17"/>
      <c r="BEM69" s="17"/>
      <c r="BEN69" s="17"/>
      <c r="BEO69" s="17"/>
      <c r="BEP69" s="17"/>
      <c r="BEQ69" s="17"/>
      <c r="BER69" s="17"/>
      <c r="BES69" s="17"/>
      <c r="BET69" s="17"/>
      <c r="BEU69" s="17"/>
      <c r="BEV69" s="17"/>
      <c r="BEW69" s="17"/>
      <c r="BEX69" s="17"/>
      <c r="BEY69" s="17"/>
      <c r="BEZ69" s="17"/>
      <c r="BFA69" s="17"/>
      <c r="BFB69" s="17"/>
      <c r="BFC69" s="17"/>
      <c r="BFD69" s="17"/>
      <c r="BFE69" s="17"/>
      <c r="BFF69" s="17"/>
      <c r="BFG69" s="17"/>
      <c r="BFH69" s="17"/>
      <c r="BFI69" s="17"/>
      <c r="BFJ69" s="17"/>
      <c r="BFK69" s="17"/>
      <c r="BFL69" s="17"/>
      <c r="BFM69" s="17"/>
      <c r="BFN69" s="17"/>
      <c r="BFO69" s="17"/>
      <c r="BFP69" s="17"/>
      <c r="BFQ69" s="17"/>
      <c r="BFR69" s="17"/>
      <c r="BFS69" s="17"/>
      <c r="BFT69" s="17"/>
      <c r="BFU69" s="17"/>
      <c r="BFV69" s="17"/>
      <c r="BFW69" s="17"/>
      <c r="BFX69" s="17"/>
      <c r="BFY69" s="17"/>
      <c r="BFZ69" s="17"/>
      <c r="BGA69" s="17"/>
      <c r="BGB69" s="17"/>
      <c r="BGC69" s="17"/>
      <c r="BGD69" s="17"/>
      <c r="BGE69" s="17"/>
      <c r="BGF69" s="17"/>
      <c r="BGG69" s="17"/>
      <c r="BGH69" s="17"/>
      <c r="BGI69" s="17"/>
      <c r="BGJ69" s="17"/>
      <c r="BGK69" s="17"/>
      <c r="BGL69" s="17"/>
      <c r="BGM69" s="17"/>
      <c r="BGN69" s="17"/>
      <c r="BGO69" s="17"/>
      <c r="BGP69" s="17"/>
      <c r="BGQ69" s="17"/>
      <c r="BGR69" s="17"/>
      <c r="BGS69" s="17"/>
      <c r="BGT69" s="17"/>
      <c r="BGU69" s="17"/>
      <c r="BGV69" s="17"/>
      <c r="BGW69" s="17"/>
      <c r="BGX69" s="17"/>
      <c r="BGY69" s="17"/>
      <c r="BGZ69" s="17"/>
      <c r="BHA69" s="17"/>
      <c r="BHB69" s="17"/>
      <c r="BHC69" s="17"/>
      <c r="BHD69" s="17"/>
      <c r="BHE69" s="17"/>
      <c r="BHF69" s="17"/>
      <c r="BHG69" s="17"/>
      <c r="BHH69" s="17"/>
      <c r="BHI69" s="17"/>
      <c r="BHJ69" s="17"/>
      <c r="BHK69" s="17"/>
      <c r="BHL69" s="17"/>
      <c r="BHM69" s="17"/>
      <c r="BHN69" s="17"/>
      <c r="BHO69" s="17"/>
      <c r="BHP69" s="17"/>
      <c r="BHQ69" s="17"/>
      <c r="BHR69" s="17"/>
      <c r="BHS69" s="17"/>
      <c r="BHT69" s="17"/>
      <c r="BHU69" s="17"/>
      <c r="BHV69" s="17"/>
      <c r="BHW69" s="17"/>
      <c r="BHX69" s="17"/>
      <c r="BHY69" s="17"/>
      <c r="BHZ69" s="17"/>
      <c r="BIA69" s="17"/>
      <c r="BIB69" s="17"/>
      <c r="BIC69" s="17"/>
      <c r="BID69" s="17"/>
      <c r="BIE69" s="17"/>
      <c r="BIF69" s="17"/>
      <c r="BIG69" s="17"/>
      <c r="BIH69" s="17"/>
      <c r="BII69" s="17"/>
      <c r="BIJ69" s="17"/>
      <c r="BIK69" s="17"/>
      <c r="BIL69" s="17"/>
      <c r="BIM69" s="17"/>
      <c r="BIN69" s="17"/>
      <c r="BIO69" s="17"/>
      <c r="BIP69" s="17"/>
      <c r="BIQ69" s="17"/>
      <c r="BIR69" s="17"/>
      <c r="BIS69" s="17"/>
      <c r="BIT69" s="17"/>
      <c r="BIU69" s="17"/>
      <c r="BIV69" s="17"/>
      <c r="BIW69" s="17"/>
      <c r="BIX69" s="17"/>
      <c r="BIY69" s="17"/>
      <c r="BIZ69" s="17"/>
      <c r="BJA69" s="17"/>
      <c r="BJB69" s="17"/>
      <c r="BJC69" s="17"/>
      <c r="BJD69" s="17"/>
      <c r="BJE69" s="17"/>
      <c r="BJF69" s="17"/>
      <c r="BJG69" s="17"/>
      <c r="BJH69" s="17"/>
      <c r="BJI69" s="17"/>
      <c r="BJJ69" s="17"/>
      <c r="BJK69" s="17"/>
      <c r="BJL69" s="17"/>
      <c r="BJM69" s="17"/>
      <c r="BJN69" s="17"/>
      <c r="BJO69" s="17"/>
      <c r="BJP69" s="17"/>
      <c r="BJQ69" s="17"/>
      <c r="BJR69" s="17"/>
      <c r="BJS69" s="17"/>
      <c r="BJT69" s="17"/>
      <c r="BJU69" s="17"/>
      <c r="BJV69" s="17"/>
      <c r="BJW69" s="17"/>
      <c r="BJX69" s="17"/>
      <c r="BJY69" s="17"/>
      <c r="BJZ69" s="17"/>
      <c r="BKA69" s="17"/>
      <c r="BKB69" s="17"/>
      <c r="BKC69" s="17"/>
      <c r="BKD69" s="17"/>
      <c r="BKE69" s="17"/>
      <c r="BKF69" s="17"/>
      <c r="BKG69" s="17"/>
      <c r="BKH69" s="17"/>
      <c r="BKI69" s="17"/>
      <c r="BKJ69" s="17"/>
      <c r="BKK69" s="17"/>
      <c r="BKL69" s="17"/>
      <c r="BKM69" s="17"/>
      <c r="BKN69" s="17"/>
      <c r="BKO69" s="17"/>
      <c r="BKP69" s="17"/>
      <c r="BKQ69" s="17"/>
      <c r="BKR69" s="17"/>
      <c r="BKS69" s="17"/>
      <c r="BKT69" s="17"/>
      <c r="BKU69" s="17"/>
      <c r="BKV69" s="17"/>
      <c r="BKW69" s="17"/>
      <c r="BKX69" s="17"/>
      <c r="BKY69" s="17"/>
      <c r="BKZ69" s="17"/>
      <c r="BLA69" s="17"/>
      <c r="BLB69" s="17"/>
      <c r="BLC69" s="17"/>
      <c r="BLD69" s="17"/>
      <c r="BLE69" s="17"/>
      <c r="BLF69" s="17"/>
      <c r="BLG69" s="17"/>
      <c r="BLH69" s="17"/>
      <c r="BLI69" s="17"/>
      <c r="BLJ69" s="17"/>
      <c r="BLK69" s="17"/>
      <c r="BLL69" s="17"/>
      <c r="BLM69" s="17"/>
      <c r="BLN69" s="17"/>
      <c r="BLO69" s="17"/>
      <c r="BLP69" s="17"/>
      <c r="BLQ69" s="17"/>
      <c r="BLR69" s="17"/>
      <c r="BLS69" s="17"/>
      <c r="BLT69" s="17"/>
      <c r="BLU69" s="17"/>
      <c r="BLV69" s="17"/>
      <c r="BLW69" s="17"/>
      <c r="BLX69" s="17"/>
      <c r="BLY69" s="17"/>
      <c r="BLZ69" s="17"/>
      <c r="BMA69" s="17"/>
      <c r="BMB69" s="17"/>
      <c r="BMC69" s="17"/>
      <c r="BMD69" s="17"/>
      <c r="BME69" s="17"/>
      <c r="BMF69" s="17"/>
      <c r="BMG69" s="17"/>
      <c r="BMH69" s="17"/>
      <c r="BMI69" s="17"/>
      <c r="BMJ69" s="17"/>
      <c r="BMK69" s="17"/>
      <c r="BML69" s="17"/>
      <c r="BMM69" s="17"/>
      <c r="BMN69" s="17"/>
      <c r="BMO69" s="17"/>
      <c r="BMP69" s="17"/>
      <c r="BMQ69" s="17"/>
      <c r="BMR69" s="17"/>
      <c r="BMS69" s="17"/>
      <c r="BMT69" s="17"/>
      <c r="BMU69" s="17"/>
      <c r="BMV69" s="17"/>
      <c r="BMW69" s="17"/>
    </row>
    <row r="70" spans="1:1738" s="682" customFormat="1" ht="14.25" customHeight="1" x14ac:dyDescent="0.25">
      <c r="A70" s="27" t="s">
        <v>87</v>
      </c>
      <c r="B70" s="15" t="s">
        <v>63</v>
      </c>
      <c r="C70" s="72">
        <v>501</v>
      </c>
      <c r="D70" s="473">
        <v>14</v>
      </c>
      <c r="E70" s="300">
        <v>16</v>
      </c>
      <c r="F70" s="298">
        <v>0.5625</v>
      </c>
      <c r="G70" s="287">
        <v>0.129</v>
      </c>
      <c r="H70" s="14">
        <v>0.6875</v>
      </c>
      <c r="I70" s="285">
        <v>4</v>
      </c>
      <c r="J70" s="64" t="s">
        <v>273</v>
      </c>
      <c r="K70" s="395" t="s">
        <v>273</v>
      </c>
      <c r="L70" s="245">
        <v>2</v>
      </c>
      <c r="M70" s="203">
        <f>2/D70</f>
        <v>0.14285714285714285</v>
      </c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4"/>
      <c r="BN70" s="254"/>
      <c r="BO70" s="254"/>
      <c r="BP70" s="254"/>
      <c r="BQ70" s="254"/>
      <c r="BR70" s="254"/>
      <c r="BS70" s="254"/>
      <c r="BT70" s="254"/>
      <c r="BU70" s="254"/>
      <c r="BV70" s="254"/>
      <c r="BW70" s="254"/>
      <c r="BX70" s="254"/>
      <c r="BY70" s="254"/>
      <c r="BZ70" s="254"/>
      <c r="CA70" s="254"/>
      <c r="CB70" s="254"/>
      <c r="CC70" s="254"/>
      <c r="CD70" s="254"/>
      <c r="CE70" s="254"/>
      <c r="CF70" s="254"/>
      <c r="CG70" s="254"/>
      <c r="CH70" s="254"/>
      <c r="CI70" s="254"/>
      <c r="CJ70" s="254"/>
      <c r="CK70" s="254"/>
      <c r="CL70" s="254"/>
      <c r="CM70" s="254"/>
      <c r="CN70" s="254"/>
      <c r="CO70" s="254"/>
      <c r="CP70" s="254"/>
      <c r="CQ70" s="254"/>
      <c r="CR70" s="254"/>
      <c r="CS70" s="254"/>
      <c r="CT70" s="254"/>
      <c r="CU70" s="254"/>
      <c r="CV70" s="254"/>
      <c r="CW70" s="254"/>
      <c r="CX70" s="254"/>
      <c r="CY70" s="254"/>
      <c r="CZ70" s="254"/>
      <c r="DA70" s="254"/>
      <c r="DB70" s="254"/>
      <c r="DC70" s="254"/>
      <c r="DD70" s="254"/>
      <c r="DE70" s="254"/>
      <c r="DF70" s="254"/>
      <c r="DG70" s="254"/>
      <c r="DH70" s="254"/>
      <c r="DI70" s="254"/>
      <c r="DJ70" s="254"/>
      <c r="DK70" s="254"/>
      <c r="DL70" s="254"/>
      <c r="DM70" s="254"/>
      <c r="DN70" s="254"/>
      <c r="DO70" s="254"/>
      <c r="DP70" s="254"/>
      <c r="DQ70" s="254"/>
      <c r="DR70" s="254"/>
      <c r="DS70" s="254"/>
      <c r="DT70" s="254"/>
      <c r="DU70" s="254"/>
      <c r="DV70" s="254"/>
      <c r="DW70" s="254"/>
      <c r="DX70" s="254"/>
      <c r="DY70" s="254"/>
      <c r="DZ70" s="254"/>
      <c r="EA70" s="254"/>
      <c r="EB70" s="254"/>
      <c r="EC70" s="254"/>
      <c r="ED70" s="254"/>
      <c r="EE70" s="254"/>
      <c r="EF70" s="254"/>
      <c r="EG70" s="254"/>
      <c r="EH70" s="254"/>
      <c r="EI70" s="254"/>
      <c r="EJ70" s="254"/>
      <c r="EK70" s="254"/>
      <c r="EL70" s="254"/>
      <c r="EM70" s="254"/>
      <c r="EN70" s="254"/>
      <c r="EO70" s="254"/>
      <c r="EP70" s="254"/>
      <c r="EQ70" s="254"/>
      <c r="ER70" s="254"/>
      <c r="ES70" s="254"/>
      <c r="ET70" s="254"/>
      <c r="EU70" s="254"/>
      <c r="EV70" s="254"/>
      <c r="EW70" s="254"/>
      <c r="EX70" s="254"/>
      <c r="EY70" s="254"/>
      <c r="EZ70" s="254"/>
      <c r="FA70" s="254"/>
      <c r="FB70" s="254"/>
      <c r="FC70" s="254"/>
      <c r="FD70" s="254"/>
      <c r="FE70" s="254"/>
      <c r="FF70" s="254"/>
      <c r="FG70" s="254"/>
      <c r="FH70" s="254"/>
      <c r="FI70" s="254"/>
      <c r="FJ70" s="254"/>
      <c r="FK70" s="254"/>
      <c r="FL70" s="254"/>
      <c r="FM70" s="254"/>
      <c r="FN70" s="254"/>
      <c r="FO70" s="254"/>
      <c r="FP70" s="254"/>
      <c r="FQ70" s="254"/>
      <c r="FR70" s="254"/>
      <c r="FS70" s="254"/>
      <c r="FT70" s="254"/>
      <c r="FU70" s="254"/>
      <c r="FV70" s="254"/>
      <c r="FW70" s="254"/>
      <c r="FX70" s="254"/>
      <c r="FY70" s="254"/>
      <c r="FZ70" s="254"/>
      <c r="GA70" s="254"/>
      <c r="GB70" s="254"/>
      <c r="GC70" s="254"/>
      <c r="GD70" s="254"/>
      <c r="GE70" s="254"/>
      <c r="GF70" s="254"/>
      <c r="GG70" s="254"/>
      <c r="GH70" s="254"/>
      <c r="GI70" s="254"/>
      <c r="GJ70" s="254"/>
      <c r="GK70" s="254"/>
      <c r="GL70" s="254"/>
      <c r="GM70" s="254"/>
      <c r="GN70" s="254"/>
      <c r="GO70" s="254"/>
      <c r="GP70" s="254"/>
      <c r="GQ70" s="254"/>
      <c r="GR70" s="254"/>
      <c r="GS70" s="254"/>
      <c r="GT70" s="254"/>
      <c r="GU70" s="254"/>
      <c r="GV70" s="254"/>
      <c r="GW70" s="254"/>
      <c r="GX70" s="254"/>
      <c r="GY70" s="254"/>
      <c r="GZ70" s="254"/>
      <c r="HA70" s="254"/>
      <c r="HB70" s="254"/>
      <c r="HC70" s="254"/>
      <c r="HD70" s="254"/>
      <c r="HE70" s="254"/>
      <c r="HF70" s="254"/>
      <c r="HG70" s="254"/>
      <c r="HH70" s="254"/>
      <c r="HI70" s="254"/>
      <c r="HJ70" s="254"/>
      <c r="HK70" s="254"/>
      <c r="HL70" s="254"/>
      <c r="HM70" s="254"/>
      <c r="HN70" s="254"/>
      <c r="HO70" s="254"/>
      <c r="HP70" s="254"/>
      <c r="HQ70" s="254"/>
      <c r="HR70" s="254"/>
      <c r="HS70" s="254"/>
      <c r="HT70" s="254"/>
      <c r="HU70" s="254"/>
      <c r="HV70" s="254"/>
      <c r="HW70" s="254"/>
      <c r="HX70" s="254"/>
      <c r="HY70" s="254"/>
      <c r="HZ70" s="254"/>
      <c r="IA70" s="254"/>
      <c r="IB70" s="254"/>
      <c r="IC70" s="254"/>
      <c r="ID70" s="254"/>
      <c r="IE70" s="254"/>
      <c r="IF70" s="254"/>
      <c r="IG70" s="254"/>
      <c r="IH70" s="254"/>
      <c r="II70" s="254"/>
      <c r="IJ70" s="254"/>
      <c r="IK70" s="254"/>
      <c r="IL70" s="254"/>
      <c r="IM70" s="254"/>
      <c r="IN70" s="254"/>
      <c r="IO70" s="254"/>
      <c r="IP70" s="254"/>
      <c r="IQ70" s="254"/>
      <c r="IR70" s="254"/>
      <c r="IS70" s="254"/>
      <c r="IT70" s="254"/>
      <c r="IU70" s="254"/>
      <c r="IV70" s="254"/>
      <c r="IW70" s="254"/>
      <c r="IX70" s="254"/>
      <c r="IY70" s="254"/>
      <c r="IZ70" s="254"/>
      <c r="JA70" s="254"/>
      <c r="JB70" s="254"/>
      <c r="JC70" s="254"/>
      <c r="JD70" s="254"/>
      <c r="JE70" s="254"/>
      <c r="JF70" s="254"/>
      <c r="JG70" s="254"/>
      <c r="JH70" s="254"/>
      <c r="JI70" s="254"/>
      <c r="JJ70" s="254"/>
      <c r="JK70" s="254"/>
      <c r="JL70" s="254"/>
      <c r="JM70" s="254"/>
      <c r="JN70" s="254"/>
      <c r="JO70" s="254"/>
      <c r="JP70" s="254"/>
      <c r="JQ70" s="254"/>
      <c r="JR70" s="254"/>
      <c r="JS70" s="254"/>
      <c r="JT70" s="254"/>
      <c r="JU70" s="254"/>
      <c r="JV70" s="254"/>
      <c r="JW70" s="254"/>
      <c r="JX70" s="254"/>
      <c r="JY70" s="254"/>
      <c r="JZ70" s="254"/>
      <c r="KA70" s="254"/>
      <c r="KB70" s="254"/>
      <c r="KC70" s="254"/>
      <c r="KD70" s="254"/>
      <c r="KE70" s="254"/>
      <c r="KF70" s="254"/>
      <c r="KG70" s="254"/>
      <c r="KH70" s="254"/>
      <c r="KI70" s="254"/>
      <c r="KJ70" s="254"/>
      <c r="KK70" s="254"/>
      <c r="KL70" s="254"/>
      <c r="KM70" s="254"/>
      <c r="KN70" s="254"/>
      <c r="KO70" s="254"/>
      <c r="KP70" s="254"/>
      <c r="KQ70" s="254"/>
      <c r="KR70" s="254"/>
      <c r="KS70" s="254"/>
      <c r="KT70" s="254"/>
      <c r="KU70" s="254"/>
      <c r="KV70" s="254"/>
      <c r="KW70" s="254"/>
      <c r="KX70" s="254"/>
      <c r="KY70" s="254"/>
      <c r="KZ70" s="254"/>
      <c r="LA70" s="254"/>
      <c r="LB70" s="254"/>
      <c r="LC70" s="254"/>
      <c r="LD70" s="254"/>
      <c r="LE70" s="254"/>
      <c r="LF70" s="254"/>
      <c r="LG70" s="254"/>
      <c r="LH70" s="254"/>
      <c r="LI70" s="254"/>
      <c r="LJ70" s="254"/>
      <c r="LK70" s="254"/>
      <c r="LL70" s="254"/>
      <c r="LM70" s="254"/>
      <c r="LN70" s="254"/>
      <c r="LO70" s="254"/>
      <c r="LP70" s="254"/>
      <c r="LQ70" s="254"/>
      <c r="LR70" s="254"/>
      <c r="LS70" s="254"/>
      <c r="LT70" s="254"/>
      <c r="LU70" s="254"/>
      <c r="LV70" s="254"/>
      <c r="LW70" s="254"/>
      <c r="LX70" s="254"/>
      <c r="LY70" s="254"/>
      <c r="LZ70" s="254"/>
      <c r="MA70" s="254"/>
      <c r="MB70" s="254"/>
      <c r="MC70" s="254"/>
      <c r="MD70" s="254"/>
      <c r="ME70" s="254"/>
      <c r="MF70" s="254"/>
      <c r="MG70" s="254"/>
      <c r="MH70" s="254"/>
      <c r="MI70" s="254"/>
      <c r="MJ70" s="254"/>
      <c r="MK70" s="254"/>
      <c r="ML70" s="254"/>
      <c r="MM70" s="254"/>
      <c r="MN70" s="254"/>
      <c r="MO70" s="254"/>
      <c r="MP70" s="254"/>
      <c r="MQ70" s="254"/>
      <c r="MR70" s="254"/>
      <c r="MS70" s="254"/>
      <c r="MT70" s="254"/>
      <c r="MU70" s="254"/>
      <c r="MV70" s="254"/>
      <c r="MW70" s="254"/>
      <c r="MX70" s="254"/>
      <c r="MY70" s="254"/>
      <c r="MZ70" s="254"/>
      <c r="NA70" s="254"/>
      <c r="NB70" s="254"/>
      <c r="NC70" s="254"/>
      <c r="ND70" s="254"/>
      <c r="NE70" s="254"/>
      <c r="NF70" s="254"/>
      <c r="NG70" s="254"/>
      <c r="NH70" s="254"/>
      <c r="NI70" s="254"/>
      <c r="NJ70" s="254"/>
      <c r="NK70" s="254"/>
      <c r="NL70" s="254"/>
      <c r="NM70" s="254"/>
      <c r="NN70" s="254"/>
      <c r="NO70" s="254"/>
      <c r="NP70" s="254"/>
      <c r="NQ70" s="254"/>
      <c r="NR70" s="254"/>
      <c r="NS70" s="254"/>
      <c r="NT70" s="254"/>
      <c r="NU70" s="254"/>
      <c r="NV70" s="254"/>
      <c r="NW70" s="254"/>
      <c r="NX70" s="254"/>
      <c r="NY70" s="254"/>
      <c r="NZ70" s="254"/>
      <c r="OA70" s="254"/>
      <c r="OB70" s="254"/>
      <c r="OC70" s="254"/>
      <c r="OD70" s="254"/>
      <c r="OE70" s="254"/>
      <c r="OF70" s="254"/>
      <c r="OG70" s="254"/>
      <c r="OH70" s="254"/>
      <c r="OI70" s="254"/>
      <c r="OJ70" s="254"/>
      <c r="OK70" s="254"/>
      <c r="OL70" s="254"/>
      <c r="OM70" s="254"/>
      <c r="ON70" s="254"/>
      <c r="OO70" s="254"/>
      <c r="OP70" s="254"/>
      <c r="OQ70" s="254"/>
      <c r="OR70" s="254"/>
      <c r="OS70" s="254"/>
      <c r="OT70" s="254"/>
      <c r="OU70" s="254"/>
      <c r="OV70" s="254"/>
      <c r="OW70" s="254"/>
      <c r="OX70" s="254"/>
      <c r="OY70" s="254"/>
      <c r="OZ70" s="254"/>
      <c r="PA70" s="254"/>
      <c r="PB70" s="254"/>
      <c r="PC70" s="254"/>
      <c r="PD70" s="254"/>
      <c r="PE70" s="254"/>
      <c r="PF70" s="254"/>
      <c r="PG70" s="254"/>
      <c r="PH70" s="254"/>
      <c r="PI70" s="254"/>
      <c r="PJ70" s="254"/>
      <c r="PK70" s="254"/>
      <c r="PL70" s="254"/>
      <c r="PM70" s="254"/>
      <c r="PN70" s="254"/>
      <c r="PO70" s="254"/>
      <c r="PP70" s="254"/>
      <c r="PQ70" s="254"/>
      <c r="PR70" s="254"/>
      <c r="PS70" s="254"/>
      <c r="PT70" s="254"/>
      <c r="PU70" s="254"/>
      <c r="PV70" s="254"/>
      <c r="PW70" s="254"/>
      <c r="PX70" s="254"/>
      <c r="PY70" s="254"/>
      <c r="PZ70" s="254"/>
      <c r="QA70" s="254"/>
      <c r="QB70" s="254"/>
      <c r="QC70" s="254"/>
      <c r="QD70" s="254"/>
      <c r="QE70" s="254"/>
      <c r="QF70" s="254"/>
      <c r="QG70" s="254"/>
      <c r="QH70" s="254"/>
      <c r="QI70" s="254"/>
      <c r="QJ70" s="254"/>
      <c r="QK70" s="254"/>
      <c r="QL70" s="254"/>
      <c r="QM70" s="254"/>
      <c r="QN70" s="254"/>
      <c r="QO70" s="254"/>
      <c r="QP70" s="254"/>
      <c r="QQ70" s="254"/>
      <c r="QR70" s="254"/>
      <c r="QS70" s="254"/>
      <c r="QT70" s="254"/>
      <c r="QU70" s="254"/>
      <c r="QV70" s="254"/>
      <c r="QW70" s="254"/>
      <c r="QX70" s="254"/>
      <c r="QY70" s="254"/>
      <c r="QZ70" s="254"/>
      <c r="RA70" s="254"/>
      <c r="RB70" s="254"/>
      <c r="RC70" s="254"/>
      <c r="RD70" s="254"/>
      <c r="RE70" s="254"/>
      <c r="RF70" s="254"/>
      <c r="RG70" s="254"/>
      <c r="RH70" s="254"/>
      <c r="RI70" s="254"/>
      <c r="RJ70" s="254"/>
      <c r="RK70" s="254"/>
      <c r="RL70" s="254"/>
      <c r="RM70" s="254"/>
      <c r="RN70" s="254"/>
      <c r="RO70" s="254"/>
      <c r="RP70" s="254"/>
      <c r="RQ70" s="254"/>
      <c r="RR70" s="254"/>
      <c r="RS70" s="254"/>
      <c r="RT70" s="254"/>
      <c r="RU70" s="254"/>
      <c r="RV70" s="254"/>
      <c r="RW70" s="254"/>
      <c r="RX70" s="254"/>
      <c r="RY70" s="254"/>
      <c r="RZ70" s="254"/>
      <c r="SA70" s="254"/>
      <c r="SB70" s="254"/>
      <c r="SC70" s="254"/>
      <c r="SD70" s="254"/>
      <c r="SE70" s="254"/>
      <c r="SF70" s="254"/>
      <c r="SG70" s="254"/>
      <c r="SH70" s="254"/>
      <c r="SI70" s="254"/>
      <c r="SJ70" s="254"/>
      <c r="SK70" s="254"/>
      <c r="SL70" s="254"/>
      <c r="SM70" s="254"/>
      <c r="SN70" s="254"/>
      <c r="SO70" s="254"/>
      <c r="SP70" s="254"/>
      <c r="SQ70" s="254"/>
      <c r="SR70" s="254"/>
      <c r="SS70" s="254"/>
      <c r="ST70" s="254"/>
      <c r="SU70" s="254"/>
      <c r="SV70" s="254"/>
      <c r="SW70" s="254"/>
      <c r="SX70" s="254"/>
      <c r="SY70" s="254"/>
      <c r="SZ70" s="254"/>
      <c r="TA70" s="254"/>
      <c r="TB70" s="254"/>
      <c r="TC70" s="254"/>
      <c r="TD70" s="254"/>
      <c r="TE70" s="254"/>
      <c r="TF70" s="254"/>
      <c r="TG70" s="254"/>
      <c r="TH70" s="254"/>
      <c r="TI70" s="254"/>
      <c r="TJ70" s="254"/>
      <c r="TK70" s="254"/>
      <c r="TL70" s="254"/>
      <c r="TM70" s="254"/>
      <c r="TN70" s="254"/>
      <c r="TO70" s="254"/>
      <c r="TP70" s="254"/>
      <c r="TQ70" s="254"/>
      <c r="TR70" s="254"/>
      <c r="TS70" s="254"/>
      <c r="TT70" s="254"/>
      <c r="TU70" s="254"/>
      <c r="TV70" s="254"/>
      <c r="TW70" s="254"/>
      <c r="TX70" s="254"/>
      <c r="TY70" s="254"/>
      <c r="TZ70" s="254"/>
      <c r="UA70" s="254"/>
      <c r="UB70" s="254"/>
      <c r="UC70" s="254"/>
      <c r="UD70" s="254"/>
      <c r="UE70" s="254"/>
      <c r="UF70" s="254"/>
      <c r="UG70" s="254"/>
      <c r="UH70" s="254"/>
      <c r="UI70" s="254"/>
      <c r="UJ70" s="254"/>
      <c r="UK70" s="254"/>
      <c r="UL70" s="254"/>
      <c r="UM70" s="254"/>
      <c r="UN70" s="254"/>
      <c r="UO70" s="254"/>
      <c r="UP70" s="254"/>
      <c r="UQ70" s="254"/>
      <c r="UR70" s="254"/>
      <c r="US70" s="254"/>
      <c r="UT70" s="254"/>
      <c r="UU70" s="254"/>
      <c r="UV70" s="254"/>
      <c r="UW70" s="254"/>
      <c r="UX70" s="254"/>
      <c r="UY70" s="254"/>
      <c r="UZ70" s="254"/>
      <c r="VA70" s="254"/>
      <c r="VB70" s="254"/>
      <c r="VC70" s="254"/>
      <c r="VD70" s="254"/>
      <c r="VE70" s="254"/>
      <c r="VF70" s="254"/>
      <c r="VG70" s="254"/>
      <c r="VH70" s="254"/>
      <c r="VI70" s="254"/>
      <c r="VJ70" s="254"/>
      <c r="VK70" s="254"/>
      <c r="VL70" s="254"/>
      <c r="VM70" s="254"/>
      <c r="VN70" s="254"/>
      <c r="VO70" s="254"/>
      <c r="VP70" s="254"/>
      <c r="VQ70" s="254"/>
      <c r="VR70" s="254"/>
      <c r="VS70" s="254"/>
      <c r="VT70" s="254"/>
      <c r="VU70" s="254"/>
      <c r="VV70" s="254"/>
      <c r="VW70" s="254"/>
      <c r="VX70" s="254"/>
      <c r="VY70" s="254"/>
      <c r="VZ70" s="254"/>
      <c r="WA70" s="254"/>
      <c r="WB70" s="254"/>
      <c r="WC70" s="254"/>
      <c r="WD70" s="254"/>
      <c r="WE70" s="254"/>
      <c r="WF70" s="254"/>
      <c r="WG70" s="254"/>
      <c r="WH70" s="254"/>
      <c r="WI70" s="254"/>
      <c r="WJ70" s="254"/>
      <c r="WK70" s="254"/>
      <c r="WL70" s="254"/>
      <c r="WM70" s="254"/>
      <c r="WN70" s="254"/>
      <c r="WO70" s="254"/>
      <c r="WP70" s="254"/>
      <c r="WQ70" s="254"/>
      <c r="WR70" s="254"/>
      <c r="WS70" s="254"/>
      <c r="WT70" s="254"/>
      <c r="WU70" s="254"/>
      <c r="WV70" s="254"/>
      <c r="WW70" s="254"/>
      <c r="WX70" s="254"/>
      <c r="WY70" s="254"/>
      <c r="WZ70" s="254"/>
      <c r="XA70" s="254"/>
      <c r="XB70" s="254"/>
      <c r="XC70" s="254"/>
      <c r="XD70" s="254"/>
      <c r="XE70" s="254"/>
      <c r="XF70" s="254"/>
      <c r="XG70" s="254"/>
      <c r="XH70" s="254"/>
      <c r="XI70" s="254"/>
      <c r="XJ70" s="254"/>
      <c r="XK70" s="254"/>
      <c r="XL70" s="254"/>
      <c r="XM70" s="254"/>
      <c r="XN70" s="254"/>
      <c r="XO70" s="254"/>
      <c r="XP70" s="254"/>
      <c r="XQ70" s="254"/>
      <c r="XR70" s="254"/>
      <c r="XS70" s="254"/>
      <c r="XT70" s="254"/>
      <c r="XU70" s="254"/>
      <c r="XV70" s="254"/>
      <c r="XW70" s="254"/>
      <c r="XX70" s="254"/>
      <c r="XY70" s="254"/>
      <c r="XZ70" s="254"/>
      <c r="YA70" s="254"/>
      <c r="YB70" s="254"/>
      <c r="YC70" s="254"/>
      <c r="YD70" s="254"/>
      <c r="YE70" s="254"/>
      <c r="YF70" s="254"/>
      <c r="YG70" s="254"/>
      <c r="YH70" s="254"/>
      <c r="YI70" s="254"/>
      <c r="YJ70" s="254"/>
      <c r="YK70" s="254"/>
      <c r="YL70" s="254"/>
      <c r="YM70" s="254"/>
      <c r="YN70" s="254"/>
      <c r="YO70" s="254"/>
      <c r="YP70" s="254"/>
      <c r="YQ70" s="254"/>
      <c r="YR70" s="254"/>
      <c r="YS70" s="254"/>
      <c r="YT70" s="254"/>
      <c r="YU70" s="254"/>
      <c r="YV70" s="254"/>
      <c r="YW70" s="254"/>
      <c r="YX70" s="254"/>
      <c r="YY70" s="254"/>
      <c r="YZ70" s="254"/>
      <c r="ZA70" s="254"/>
      <c r="ZB70" s="254"/>
      <c r="ZC70" s="254"/>
      <c r="ZD70" s="254"/>
      <c r="ZE70" s="254"/>
      <c r="ZF70" s="254"/>
      <c r="ZG70" s="254"/>
      <c r="ZH70" s="254"/>
      <c r="ZI70" s="254"/>
      <c r="ZJ70" s="254"/>
      <c r="ZK70" s="254"/>
      <c r="ZL70" s="254"/>
      <c r="ZM70" s="254"/>
      <c r="ZN70" s="254"/>
      <c r="ZO70" s="254"/>
      <c r="ZP70" s="254"/>
      <c r="ZQ70" s="254"/>
      <c r="ZR70" s="254"/>
      <c r="ZS70" s="254"/>
      <c r="ZT70" s="254"/>
      <c r="ZU70" s="254"/>
      <c r="ZV70" s="254"/>
      <c r="ZW70" s="254"/>
      <c r="ZX70" s="254"/>
      <c r="ZY70" s="254"/>
      <c r="ZZ70" s="254"/>
      <c r="AAA70" s="254"/>
      <c r="AAB70" s="254"/>
      <c r="AAC70" s="254"/>
      <c r="AAD70" s="254"/>
      <c r="AAE70" s="254"/>
      <c r="AAF70" s="254"/>
      <c r="AAG70" s="254"/>
      <c r="AAH70" s="254"/>
      <c r="AAI70" s="254"/>
      <c r="AAJ70" s="254"/>
      <c r="AAK70" s="254"/>
      <c r="AAL70" s="254"/>
      <c r="AAM70" s="254"/>
      <c r="AAN70" s="254"/>
      <c r="AAO70" s="254"/>
      <c r="AAP70" s="254"/>
      <c r="AAQ70" s="254"/>
      <c r="AAR70" s="254"/>
      <c r="AAS70" s="254"/>
      <c r="AAT70" s="254"/>
      <c r="AAU70" s="254"/>
      <c r="AAV70" s="254"/>
      <c r="AAW70" s="254"/>
      <c r="AAX70" s="254"/>
      <c r="AAY70" s="254"/>
      <c r="AAZ70" s="254"/>
      <c r="ABA70" s="254"/>
      <c r="ABB70" s="254"/>
      <c r="ABC70" s="254"/>
      <c r="ABD70" s="254"/>
      <c r="ABE70" s="254"/>
      <c r="ABF70" s="254"/>
      <c r="ABG70" s="254"/>
      <c r="ABH70" s="254"/>
      <c r="ABI70" s="254"/>
      <c r="ABJ70" s="254"/>
      <c r="ABK70" s="254"/>
      <c r="ABL70" s="254"/>
      <c r="ABM70" s="254"/>
      <c r="ABN70" s="254"/>
      <c r="ABO70" s="254"/>
      <c r="ABP70" s="254"/>
      <c r="ABQ70" s="254"/>
      <c r="ABR70" s="254"/>
      <c r="ABS70" s="254"/>
      <c r="ABT70" s="254"/>
      <c r="ABU70" s="254"/>
      <c r="ABV70" s="254"/>
      <c r="ABW70" s="254"/>
      <c r="ABX70" s="254"/>
      <c r="ABY70" s="254"/>
      <c r="ABZ70" s="254"/>
      <c r="ACA70" s="254"/>
      <c r="ACB70" s="254"/>
      <c r="ACC70" s="254"/>
      <c r="ACD70" s="254"/>
      <c r="ACE70" s="254"/>
      <c r="ACF70" s="254"/>
      <c r="ACG70" s="254"/>
      <c r="ACH70" s="254"/>
      <c r="ACI70" s="254"/>
      <c r="ACJ70" s="254"/>
      <c r="ACK70" s="254"/>
      <c r="ACL70" s="254"/>
      <c r="ACM70" s="254"/>
      <c r="ACN70" s="254"/>
      <c r="ACO70" s="254"/>
      <c r="ACP70" s="254"/>
      <c r="ACQ70" s="254"/>
      <c r="ACR70" s="254"/>
      <c r="ACS70" s="254"/>
      <c r="ACT70" s="254"/>
      <c r="ACU70" s="254"/>
      <c r="ACV70" s="254"/>
      <c r="ACW70" s="254"/>
      <c r="ACX70" s="254"/>
      <c r="ACY70" s="254"/>
      <c r="ACZ70" s="254"/>
      <c r="ADA70" s="254"/>
      <c r="ADB70" s="254"/>
      <c r="ADC70" s="254"/>
      <c r="ADD70" s="254"/>
      <c r="ADE70" s="254"/>
      <c r="ADF70" s="254"/>
      <c r="ADG70" s="254"/>
      <c r="ADH70" s="254"/>
      <c r="ADI70" s="254"/>
      <c r="ADJ70" s="254"/>
      <c r="ADK70" s="254"/>
      <c r="ADL70" s="254"/>
      <c r="ADM70" s="254"/>
      <c r="ADN70" s="254"/>
      <c r="ADO70" s="254"/>
      <c r="ADP70" s="254"/>
      <c r="ADQ70" s="254"/>
      <c r="ADR70" s="254"/>
      <c r="ADS70" s="254"/>
      <c r="ADT70" s="254"/>
      <c r="ADU70" s="254"/>
      <c r="ADV70" s="254"/>
      <c r="ADW70" s="254"/>
      <c r="ADX70" s="254"/>
      <c r="ADY70" s="254"/>
      <c r="ADZ70" s="254"/>
      <c r="AEA70" s="254"/>
      <c r="AEB70" s="254"/>
      <c r="AEC70" s="254"/>
      <c r="AED70" s="254"/>
      <c r="AEE70" s="254"/>
      <c r="AEF70" s="254"/>
      <c r="AEG70" s="254"/>
      <c r="AEH70" s="254"/>
      <c r="AEI70" s="254"/>
      <c r="AEJ70" s="254"/>
      <c r="AEK70" s="254"/>
      <c r="AEL70" s="254"/>
      <c r="AEM70" s="254"/>
      <c r="AEN70" s="254"/>
      <c r="AEO70" s="254"/>
      <c r="AEP70" s="254"/>
      <c r="AEQ70" s="254"/>
      <c r="AER70" s="254"/>
      <c r="AES70" s="254"/>
      <c r="AET70" s="254"/>
      <c r="AEU70" s="254"/>
      <c r="AEV70" s="254"/>
      <c r="AEW70" s="254"/>
      <c r="AEX70" s="254"/>
      <c r="AEY70" s="254"/>
      <c r="AEZ70" s="254"/>
      <c r="AFA70" s="254"/>
      <c r="AFB70" s="254"/>
      <c r="AFC70" s="254"/>
      <c r="AFD70" s="254"/>
      <c r="AFE70" s="254"/>
      <c r="AFF70" s="254"/>
      <c r="AFG70" s="254"/>
      <c r="AFH70" s="254"/>
      <c r="AFI70" s="254"/>
      <c r="AFJ70" s="254"/>
      <c r="AFK70" s="254"/>
      <c r="AFL70" s="254"/>
      <c r="AFM70" s="254"/>
      <c r="AFN70" s="254"/>
      <c r="AFO70" s="254"/>
      <c r="AFP70" s="254"/>
      <c r="AFQ70" s="254"/>
      <c r="AFR70" s="254"/>
      <c r="AFS70" s="254"/>
      <c r="AFT70" s="254"/>
      <c r="AFU70" s="254"/>
      <c r="AFV70" s="254"/>
      <c r="AFW70" s="254"/>
      <c r="AFX70" s="254"/>
      <c r="AFY70" s="254"/>
      <c r="AFZ70" s="254"/>
      <c r="AGA70" s="254"/>
      <c r="AGB70" s="254"/>
      <c r="AGC70" s="254"/>
      <c r="AGD70" s="254"/>
      <c r="AGE70" s="254"/>
      <c r="AGF70" s="254"/>
      <c r="AGG70" s="254"/>
      <c r="AGH70" s="254"/>
      <c r="AGI70" s="254"/>
      <c r="AGJ70" s="254"/>
      <c r="AGK70" s="254"/>
      <c r="AGL70" s="254"/>
      <c r="AGM70" s="254"/>
      <c r="AGN70" s="254"/>
      <c r="AGO70" s="254"/>
      <c r="AGP70" s="254"/>
      <c r="AGQ70" s="254"/>
      <c r="AGR70" s="254"/>
      <c r="AGS70" s="254"/>
      <c r="AGT70" s="254"/>
      <c r="AGU70" s="254"/>
      <c r="AGV70" s="254"/>
      <c r="AGW70" s="254"/>
      <c r="AGX70" s="254"/>
      <c r="AGY70" s="254"/>
      <c r="AGZ70" s="254"/>
      <c r="AHA70" s="254"/>
      <c r="AHB70" s="254"/>
      <c r="AHC70" s="254"/>
      <c r="AHD70" s="254"/>
      <c r="AHE70" s="254"/>
      <c r="AHF70" s="254"/>
      <c r="AHG70" s="254"/>
      <c r="AHH70" s="254"/>
      <c r="AHI70" s="254"/>
      <c r="AHJ70" s="254"/>
      <c r="AHK70" s="254"/>
      <c r="AHL70" s="254"/>
      <c r="AHM70" s="254"/>
      <c r="AHN70" s="254"/>
      <c r="AHO70" s="254"/>
      <c r="AHP70" s="254"/>
      <c r="AHQ70" s="254"/>
      <c r="AHR70" s="254"/>
      <c r="AHS70" s="254"/>
      <c r="AHT70" s="254"/>
      <c r="AHU70" s="254"/>
      <c r="AHV70" s="254"/>
      <c r="AHW70" s="254"/>
      <c r="AHX70" s="254"/>
      <c r="AHY70" s="254"/>
      <c r="AHZ70" s="254"/>
      <c r="AIA70" s="254"/>
      <c r="AIB70" s="254"/>
      <c r="AIC70" s="254"/>
      <c r="AID70" s="254"/>
      <c r="AIE70" s="254"/>
      <c r="AIF70" s="254"/>
      <c r="AIG70" s="254"/>
      <c r="AIH70" s="254"/>
      <c r="AII70" s="254"/>
      <c r="AIJ70" s="254"/>
      <c r="AIK70" s="254"/>
      <c r="AIL70" s="254"/>
      <c r="AIM70" s="254"/>
      <c r="AIN70" s="254"/>
      <c r="AIO70" s="254"/>
      <c r="AIP70" s="254"/>
      <c r="AIQ70" s="254"/>
      <c r="AIR70" s="254"/>
      <c r="AIS70" s="254"/>
      <c r="AIT70" s="254"/>
      <c r="AIU70" s="254"/>
      <c r="AIV70" s="254"/>
      <c r="AIW70" s="254"/>
      <c r="AIX70" s="254"/>
      <c r="AIY70" s="254"/>
      <c r="AIZ70" s="254"/>
      <c r="AJA70" s="254"/>
      <c r="AJB70" s="254"/>
      <c r="AJC70" s="254"/>
      <c r="AJD70" s="254"/>
      <c r="AJE70" s="254"/>
      <c r="AJF70" s="254"/>
      <c r="AJG70" s="254"/>
      <c r="AJH70" s="254"/>
      <c r="AJI70" s="254"/>
      <c r="AJJ70" s="254"/>
      <c r="AJK70" s="254"/>
      <c r="AJL70" s="254"/>
      <c r="AJM70" s="254"/>
      <c r="AJN70" s="254"/>
      <c r="AJO70" s="254"/>
      <c r="AJP70" s="254"/>
      <c r="AJQ70" s="254"/>
      <c r="AJR70" s="254"/>
      <c r="AJS70" s="254"/>
      <c r="AJT70" s="254"/>
      <c r="AJU70" s="254"/>
      <c r="AJV70" s="254"/>
      <c r="AJW70" s="254"/>
      <c r="AJX70" s="254"/>
      <c r="AJY70" s="254"/>
      <c r="AJZ70" s="254"/>
      <c r="AKA70" s="254"/>
      <c r="AKB70" s="254"/>
      <c r="AKC70" s="254"/>
      <c r="AKD70" s="254"/>
      <c r="AKE70" s="254"/>
      <c r="AKF70" s="254"/>
      <c r="AKG70" s="254"/>
      <c r="AKH70" s="254"/>
      <c r="AKI70" s="254"/>
      <c r="AKJ70" s="254"/>
      <c r="AKK70" s="254"/>
      <c r="AKL70" s="254"/>
      <c r="AKM70" s="254"/>
      <c r="AKN70" s="254"/>
      <c r="AKO70" s="254"/>
      <c r="AKP70" s="254"/>
      <c r="AKQ70" s="254"/>
      <c r="AKR70" s="254"/>
      <c r="AKS70" s="254"/>
      <c r="AKT70" s="254"/>
      <c r="AKU70" s="254"/>
      <c r="AKV70" s="254"/>
      <c r="AKW70" s="254"/>
      <c r="AKX70" s="254"/>
      <c r="AKY70" s="254"/>
      <c r="AKZ70" s="254"/>
      <c r="ALA70" s="254"/>
      <c r="ALB70" s="254"/>
      <c r="ALC70" s="254"/>
      <c r="ALD70" s="254"/>
      <c r="ALE70" s="254"/>
      <c r="ALF70" s="254"/>
      <c r="ALG70" s="254"/>
      <c r="ALH70" s="254"/>
      <c r="ALI70" s="254"/>
      <c r="ALJ70" s="254"/>
      <c r="ALK70" s="254"/>
      <c r="ALL70" s="254"/>
      <c r="ALM70" s="254"/>
      <c r="ALN70" s="254"/>
      <c r="ALO70" s="254"/>
      <c r="ALP70" s="254"/>
      <c r="ALQ70" s="254"/>
      <c r="ALR70" s="254"/>
      <c r="ALS70" s="254"/>
      <c r="ALT70" s="254"/>
      <c r="ALU70" s="254"/>
      <c r="ALV70" s="254"/>
      <c r="ALW70" s="254"/>
      <c r="ALX70" s="254"/>
      <c r="ALY70" s="254"/>
      <c r="ALZ70" s="254"/>
      <c r="AMA70" s="254"/>
      <c r="AMB70" s="254"/>
      <c r="AMC70" s="254"/>
      <c r="AMD70" s="254"/>
      <c r="AME70" s="254"/>
      <c r="AMF70" s="254"/>
      <c r="AMG70" s="254"/>
      <c r="AMH70" s="254"/>
      <c r="AMI70" s="254"/>
      <c r="AMJ70" s="254"/>
      <c r="AMK70" s="254"/>
      <c r="AML70" s="254"/>
      <c r="AMM70" s="254"/>
      <c r="AMN70" s="254"/>
      <c r="AMO70" s="254"/>
      <c r="AMP70" s="254"/>
      <c r="AMQ70" s="254"/>
      <c r="AMR70" s="254"/>
      <c r="AMS70" s="254"/>
      <c r="AMT70" s="254"/>
      <c r="AMU70" s="254"/>
      <c r="AMV70" s="254"/>
      <c r="AMW70" s="254"/>
      <c r="AMX70" s="254"/>
      <c r="AMY70" s="254"/>
      <c r="AMZ70" s="254"/>
      <c r="ANA70" s="254"/>
      <c r="ANB70" s="254"/>
      <c r="ANC70" s="254"/>
      <c r="AND70" s="254"/>
      <c r="ANE70" s="254"/>
      <c r="ANF70" s="254"/>
      <c r="ANG70" s="254"/>
      <c r="ANH70" s="254"/>
      <c r="ANI70" s="254"/>
      <c r="ANJ70" s="254"/>
      <c r="ANK70" s="254"/>
      <c r="ANL70" s="254"/>
      <c r="ANM70" s="254"/>
      <c r="ANN70" s="254"/>
      <c r="ANO70" s="254"/>
      <c r="ANP70" s="254"/>
      <c r="ANQ70" s="254"/>
      <c r="ANR70" s="254"/>
      <c r="ANS70" s="254"/>
      <c r="ANT70" s="254"/>
      <c r="ANU70" s="254"/>
      <c r="ANV70" s="254"/>
      <c r="ANW70" s="254"/>
      <c r="ANX70" s="254"/>
      <c r="ANY70" s="254"/>
      <c r="ANZ70" s="254"/>
      <c r="AOA70" s="254"/>
      <c r="AOB70" s="254"/>
      <c r="AOC70" s="254"/>
      <c r="AOD70" s="254"/>
      <c r="AOE70" s="254"/>
      <c r="AOF70" s="254"/>
      <c r="AOG70" s="254"/>
      <c r="AOH70" s="254"/>
      <c r="AOI70" s="254"/>
      <c r="AOJ70" s="254"/>
      <c r="AOK70" s="254"/>
      <c r="AOL70" s="254"/>
      <c r="AOM70" s="254"/>
      <c r="AON70" s="254"/>
      <c r="AOO70" s="254"/>
      <c r="AOP70" s="254"/>
      <c r="AOQ70" s="254"/>
      <c r="AOR70" s="254"/>
      <c r="AOS70" s="254"/>
      <c r="AOT70" s="254"/>
      <c r="AOU70" s="254"/>
      <c r="AOV70" s="254"/>
      <c r="AOW70" s="254"/>
      <c r="AOX70" s="254"/>
      <c r="AOY70" s="254"/>
      <c r="AOZ70" s="254"/>
      <c r="APA70" s="254"/>
      <c r="APB70" s="254"/>
      <c r="APC70" s="254"/>
      <c r="APD70" s="254"/>
      <c r="APE70" s="254"/>
      <c r="APF70" s="254"/>
      <c r="APG70" s="254"/>
      <c r="APH70" s="254"/>
      <c r="API70" s="254"/>
      <c r="APJ70" s="254"/>
      <c r="APK70" s="254"/>
      <c r="APL70" s="254"/>
      <c r="APM70" s="254"/>
      <c r="APN70" s="254"/>
      <c r="APO70" s="254"/>
      <c r="APP70" s="254"/>
      <c r="APQ70" s="254"/>
      <c r="APR70" s="254"/>
      <c r="APS70" s="254"/>
      <c r="APT70" s="254"/>
      <c r="APU70" s="254"/>
      <c r="APV70" s="254"/>
      <c r="APW70" s="254"/>
      <c r="APX70" s="254"/>
      <c r="APY70" s="254"/>
      <c r="APZ70" s="254"/>
      <c r="AQA70" s="254"/>
      <c r="AQB70" s="254"/>
      <c r="AQC70" s="254"/>
      <c r="AQD70" s="254"/>
      <c r="AQE70" s="254"/>
      <c r="AQF70" s="254"/>
      <c r="AQG70" s="254"/>
      <c r="AQH70" s="254"/>
      <c r="AQI70" s="254"/>
      <c r="AQJ70" s="254"/>
      <c r="AQK70" s="254"/>
      <c r="AQL70" s="254"/>
      <c r="AQM70" s="254"/>
      <c r="AQN70" s="254"/>
      <c r="AQO70" s="254"/>
      <c r="AQP70" s="254"/>
      <c r="AQQ70" s="254"/>
      <c r="AQR70" s="254"/>
      <c r="AQS70" s="254"/>
      <c r="AQT70" s="254"/>
      <c r="AQU70" s="254"/>
      <c r="AQV70" s="254"/>
      <c r="AQW70" s="254"/>
      <c r="AQX70" s="254"/>
      <c r="AQY70" s="254"/>
      <c r="AQZ70" s="254"/>
      <c r="ARA70" s="254"/>
      <c r="ARB70" s="254"/>
      <c r="ARC70" s="254"/>
      <c r="ARD70" s="254"/>
      <c r="ARE70" s="254"/>
      <c r="ARF70" s="254"/>
      <c r="ARG70" s="254"/>
      <c r="ARH70" s="254"/>
      <c r="ARI70" s="254"/>
      <c r="ARJ70" s="254"/>
      <c r="ARK70" s="254"/>
      <c r="ARL70" s="254"/>
      <c r="ARM70" s="254"/>
      <c r="ARN70" s="254"/>
      <c r="ARO70" s="254"/>
      <c r="ARP70" s="254"/>
      <c r="ARQ70" s="254"/>
      <c r="ARR70" s="254"/>
      <c r="ARS70" s="254"/>
      <c r="ART70" s="254"/>
      <c r="ARU70" s="254"/>
      <c r="ARV70" s="254"/>
      <c r="ARW70" s="254"/>
      <c r="ARX70" s="254"/>
      <c r="ARY70" s="254"/>
      <c r="ARZ70" s="254"/>
      <c r="ASA70" s="254"/>
      <c r="ASB70" s="254"/>
      <c r="ASC70" s="254"/>
      <c r="ASD70" s="254"/>
      <c r="ASE70" s="254"/>
      <c r="ASF70" s="254"/>
      <c r="ASG70" s="254"/>
      <c r="ASH70" s="254"/>
      <c r="ASI70" s="254"/>
      <c r="ASJ70" s="254"/>
      <c r="ASK70" s="254"/>
      <c r="ASL70" s="254"/>
      <c r="ASM70" s="254"/>
      <c r="ASN70" s="254"/>
      <c r="ASO70" s="254"/>
      <c r="ASP70" s="254"/>
      <c r="ASQ70" s="254"/>
      <c r="ASR70" s="254"/>
      <c r="ASS70" s="254"/>
      <c r="AST70" s="254"/>
      <c r="ASU70" s="254"/>
      <c r="ASV70" s="254"/>
      <c r="ASW70" s="254"/>
      <c r="ASX70" s="254"/>
      <c r="ASY70" s="254"/>
      <c r="ASZ70" s="254"/>
      <c r="ATA70" s="254"/>
      <c r="ATB70" s="254"/>
      <c r="ATC70" s="254"/>
      <c r="ATD70" s="254"/>
      <c r="ATE70" s="254"/>
      <c r="ATF70" s="254"/>
      <c r="ATG70" s="254"/>
      <c r="ATH70" s="254"/>
      <c r="ATI70" s="254"/>
      <c r="ATJ70" s="254"/>
      <c r="ATK70" s="254"/>
      <c r="ATL70" s="254"/>
      <c r="ATM70" s="254"/>
      <c r="ATN70" s="254"/>
      <c r="ATO70" s="254"/>
      <c r="ATP70" s="254"/>
      <c r="ATQ70" s="254"/>
      <c r="ATR70" s="254"/>
      <c r="ATS70" s="254"/>
      <c r="ATT70" s="254"/>
      <c r="ATU70" s="254"/>
      <c r="ATV70" s="254"/>
      <c r="ATW70" s="254"/>
      <c r="ATX70" s="254"/>
      <c r="ATY70" s="254"/>
      <c r="ATZ70" s="254"/>
      <c r="AUA70" s="254"/>
      <c r="AUB70" s="254"/>
      <c r="AUC70" s="254"/>
      <c r="AUD70" s="254"/>
      <c r="AUE70" s="254"/>
      <c r="AUF70" s="254"/>
      <c r="AUG70" s="254"/>
      <c r="AUH70" s="254"/>
      <c r="AUI70" s="254"/>
      <c r="AUJ70" s="254"/>
      <c r="AUK70" s="254"/>
      <c r="AUL70" s="254"/>
      <c r="AUM70" s="254"/>
      <c r="AUN70" s="254"/>
      <c r="AUO70" s="254"/>
      <c r="AUP70" s="254"/>
      <c r="AUQ70" s="254"/>
      <c r="AUR70" s="254"/>
      <c r="AUS70" s="254"/>
      <c r="AUT70" s="254"/>
      <c r="AUU70" s="254"/>
      <c r="AUV70" s="254"/>
      <c r="AUW70" s="254"/>
      <c r="AUX70" s="254"/>
      <c r="AUY70" s="254"/>
      <c r="AUZ70" s="254"/>
      <c r="AVA70" s="254"/>
      <c r="AVB70" s="254"/>
      <c r="AVC70" s="254"/>
      <c r="AVD70" s="254"/>
      <c r="AVE70" s="254"/>
      <c r="AVF70" s="254"/>
      <c r="AVG70" s="254"/>
      <c r="AVH70" s="254"/>
      <c r="AVI70" s="254"/>
      <c r="AVJ70" s="254"/>
      <c r="AVK70" s="254"/>
      <c r="AVL70" s="254"/>
      <c r="AVM70" s="254"/>
      <c r="AVN70" s="254"/>
      <c r="AVO70" s="254"/>
      <c r="AVP70" s="254"/>
      <c r="AVQ70" s="254"/>
      <c r="AVR70" s="254"/>
      <c r="AVS70" s="254"/>
      <c r="AVT70" s="254"/>
      <c r="AVU70" s="254"/>
      <c r="AVV70" s="254"/>
      <c r="AVW70" s="254"/>
      <c r="AVX70" s="254"/>
      <c r="AVY70" s="254"/>
      <c r="AVZ70" s="254"/>
      <c r="AWA70" s="254"/>
      <c r="AWB70" s="254"/>
      <c r="AWC70" s="254"/>
      <c r="AWD70" s="254"/>
      <c r="AWE70" s="254"/>
      <c r="AWF70" s="254"/>
      <c r="AWG70" s="254"/>
      <c r="AWH70" s="254"/>
      <c r="AWI70" s="254"/>
      <c r="AWJ70" s="254"/>
      <c r="AWK70" s="254"/>
      <c r="AWL70" s="254"/>
      <c r="AWM70" s="254"/>
      <c r="AWN70" s="254"/>
      <c r="AWO70" s="254"/>
      <c r="AWP70" s="254"/>
      <c r="AWQ70" s="254"/>
      <c r="AWR70" s="254"/>
      <c r="AWS70" s="254"/>
      <c r="AWT70" s="254"/>
      <c r="AWU70" s="254"/>
      <c r="AWV70" s="254"/>
      <c r="AWW70" s="254"/>
      <c r="AWX70" s="254"/>
      <c r="AWY70" s="254"/>
      <c r="AWZ70" s="254"/>
      <c r="AXA70" s="254"/>
      <c r="AXB70" s="254"/>
      <c r="AXC70" s="254"/>
      <c r="AXD70" s="254"/>
      <c r="AXE70" s="254"/>
      <c r="AXF70" s="254"/>
      <c r="AXG70" s="254"/>
      <c r="AXH70" s="254"/>
      <c r="AXI70" s="254"/>
      <c r="AXJ70" s="254"/>
      <c r="AXK70" s="254"/>
      <c r="AXL70" s="254"/>
      <c r="AXM70" s="254"/>
      <c r="AXN70" s="254"/>
      <c r="AXO70" s="254"/>
      <c r="AXP70" s="254"/>
      <c r="AXQ70" s="254"/>
      <c r="AXR70" s="254"/>
      <c r="AXS70" s="254"/>
      <c r="AXT70" s="254"/>
      <c r="AXU70" s="254"/>
      <c r="AXV70" s="254"/>
      <c r="AXW70" s="254"/>
      <c r="AXX70" s="254"/>
      <c r="AXY70" s="254"/>
      <c r="AXZ70" s="254"/>
      <c r="AYA70" s="254"/>
      <c r="AYB70" s="254"/>
      <c r="AYC70" s="254"/>
      <c r="AYD70" s="254"/>
      <c r="AYE70" s="254"/>
      <c r="AYF70" s="254"/>
      <c r="AYG70" s="254"/>
      <c r="AYH70" s="254"/>
      <c r="AYI70" s="254"/>
      <c r="AYJ70" s="254"/>
      <c r="AYK70" s="254"/>
      <c r="AYL70" s="254"/>
      <c r="AYM70" s="254"/>
      <c r="AYN70" s="254"/>
      <c r="AYO70" s="254"/>
      <c r="AYP70" s="254"/>
      <c r="AYQ70" s="254"/>
      <c r="AYR70" s="254"/>
      <c r="AYS70" s="254"/>
      <c r="AYT70" s="254"/>
      <c r="AYU70" s="254"/>
      <c r="AYV70" s="254"/>
      <c r="AYW70" s="254"/>
      <c r="AYX70" s="254"/>
      <c r="AYY70" s="254"/>
      <c r="AYZ70" s="254"/>
      <c r="AZA70" s="254"/>
      <c r="AZB70" s="254"/>
      <c r="AZC70" s="254"/>
      <c r="AZD70" s="254"/>
      <c r="AZE70" s="254"/>
      <c r="AZF70" s="254"/>
      <c r="AZG70" s="254"/>
      <c r="AZH70" s="254"/>
      <c r="AZI70" s="254"/>
      <c r="AZJ70" s="254"/>
      <c r="AZK70" s="254"/>
      <c r="AZL70" s="254"/>
      <c r="AZM70" s="254"/>
      <c r="AZN70" s="254"/>
      <c r="AZO70" s="254"/>
      <c r="AZP70" s="254"/>
      <c r="AZQ70" s="254"/>
      <c r="AZR70" s="254"/>
      <c r="AZS70" s="254"/>
      <c r="AZT70" s="254"/>
      <c r="AZU70" s="254"/>
      <c r="AZV70" s="254"/>
      <c r="AZW70" s="254"/>
      <c r="AZX70" s="254"/>
      <c r="AZY70" s="254"/>
      <c r="AZZ70" s="254"/>
      <c r="BAA70" s="254"/>
      <c r="BAB70" s="254"/>
      <c r="BAC70" s="254"/>
      <c r="BAD70" s="254"/>
      <c r="BAE70" s="254"/>
      <c r="BAF70" s="254"/>
      <c r="BAG70" s="254"/>
      <c r="BAH70" s="254"/>
      <c r="BAI70" s="254"/>
      <c r="BAJ70" s="254"/>
      <c r="BAK70" s="254"/>
      <c r="BAL70" s="254"/>
      <c r="BAM70" s="254"/>
      <c r="BAN70" s="254"/>
      <c r="BAO70" s="254"/>
      <c r="BAP70" s="254"/>
      <c r="BAQ70" s="254"/>
      <c r="BAR70" s="254"/>
      <c r="BAS70" s="254"/>
      <c r="BAT70" s="254"/>
      <c r="BAU70" s="254"/>
      <c r="BAV70" s="254"/>
      <c r="BAW70" s="254"/>
      <c r="BAX70" s="254"/>
      <c r="BAY70" s="254"/>
      <c r="BAZ70" s="254"/>
      <c r="BBA70" s="254"/>
      <c r="BBB70" s="254"/>
      <c r="BBC70" s="254"/>
      <c r="BBD70" s="254"/>
      <c r="BBE70" s="254"/>
      <c r="BBF70" s="254"/>
      <c r="BBG70" s="254"/>
      <c r="BBH70" s="254"/>
      <c r="BBI70" s="254"/>
      <c r="BBJ70" s="254"/>
      <c r="BBK70" s="254"/>
      <c r="BBL70" s="254"/>
      <c r="BBM70" s="254"/>
      <c r="BBN70" s="254"/>
      <c r="BBO70" s="254"/>
      <c r="BBP70" s="254"/>
      <c r="BBQ70" s="254"/>
      <c r="BBR70" s="254"/>
      <c r="BBS70" s="254"/>
      <c r="BBT70" s="254"/>
      <c r="BBU70" s="254"/>
      <c r="BBV70" s="254"/>
      <c r="BBW70" s="254"/>
      <c r="BBX70" s="254"/>
      <c r="BBY70" s="254"/>
      <c r="BBZ70" s="254"/>
      <c r="BCA70" s="254"/>
      <c r="BCB70" s="254"/>
      <c r="BCC70" s="254"/>
      <c r="BCD70" s="254"/>
      <c r="BCE70" s="254"/>
      <c r="BCF70" s="254"/>
      <c r="BCG70" s="254"/>
      <c r="BCH70" s="254"/>
      <c r="BCI70" s="254"/>
      <c r="BCJ70" s="254"/>
      <c r="BCK70" s="254"/>
      <c r="BCL70" s="254"/>
      <c r="BCM70" s="254"/>
      <c r="BCN70" s="254"/>
      <c r="BCO70" s="254"/>
      <c r="BCP70" s="254"/>
      <c r="BCQ70" s="254"/>
      <c r="BCR70" s="254"/>
      <c r="BCS70" s="254"/>
      <c r="BCT70" s="254"/>
      <c r="BCU70" s="254"/>
      <c r="BCV70" s="254"/>
      <c r="BCW70" s="254"/>
      <c r="BCX70" s="254"/>
      <c r="BCY70" s="254"/>
      <c r="BCZ70" s="254"/>
      <c r="BDA70" s="254"/>
      <c r="BDB70" s="254"/>
      <c r="BDC70" s="254"/>
      <c r="BDD70" s="254"/>
      <c r="BDE70" s="254"/>
      <c r="BDF70" s="254"/>
      <c r="BDG70" s="254"/>
      <c r="BDH70" s="254"/>
      <c r="BDI70" s="254"/>
      <c r="BDJ70" s="254"/>
      <c r="BDK70" s="254"/>
      <c r="BDL70" s="254"/>
      <c r="BDM70" s="254"/>
      <c r="BDN70" s="254"/>
      <c r="BDO70" s="254"/>
      <c r="BDP70" s="254"/>
      <c r="BDQ70" s="254"/>
      <c r="BDR70" s="254"/>
      <c r="BDS70" s="254"/>
      <c r="BDT70" s="254"/>
      <c r="BDU70" s="254"/>
      <c r="BDV70" s="254"/>
      <c r="BDW70" s="254"/>
      <c r="BDX70" s="254"/>
      <c r="BDY70" s="254"/>
      <c r="BDZ70" s="254"/>
      <c r="BEA70" s="254"/>
      <c r="BEB70" s="254"/>
      <c r="BEC70" s="254"/>
      <c r="BED70" s="254"/>
      <c r="BEE70" s="254"/>
      <c r="BEF70" s="254"/>
      <c r="BEG70" s="254"/>
      <c r="BEH70" s="254"/>
      <c r="BEI70" s="254"/>
      <c r="BEJ70" s="254"/>
      <c r="BEK70" s="254"/>
      <c r="BEL70" s="254"/>
      <c r="BEM70" s="254"/>
      <c r="BEN70" s="254"/>
      <c r="BEO70" s="254"/>
      <c r="BEP70" s="254"/>
      <c r="BEQ70" s="254"/>
      <c r="BER70" s="254"/>
      <c r="BES70" s="254"/>
      <c r="BET70" s="254"/>
      <c r="BEU70" s="254"/>
      <c r="BEV70" s="254"/>
      <c r="BEW70" s="254"/>
      <c r="BEX70" s="254"/>
      <c r="BEY70" s="254"/>
      <c r="BEZ70" s="254"/>
      <c r="BFA70" s="254"/>
      <c r="BFB70" s="254"/>
      <c r="BFC70" s="254"/>
      <c r="BFD70" s="254"/>
      <c r="BFE70" s="254"/>
      <c r="BFF70" s="254"/>
      <c r="BFG70" s="254"/>
      <c r="BFH70" s="254"/>
      <c r="BFI70" s="254"/>
      <c r="BFJ70" s="254"/>
      <c r="BFK70" s="254"/>
      <c r="BFL70" s="254"/>
      <c r="BFM70" s="254"/>
      <c r="BFN70" s="254"/>
      <c r="BFO70" s="254"/>
      <c r="BFP70" s="254"/>
      <c r="BFQ70" s="254"/>
      <c r="BFR70" s="254"/>
      <c r="BFS70" s="254"/>
      <c r="BFT70" s="254"/>
      <c r="BFU70" s="254"/>
      <c r="BFV70" s="254"/>
      <c r="BFW70" s="254"/>
      <c r="BFX70" s="254"/>
      <c r="BFY70" s="254"/>
      <c r="BFZ70" s="254"/>
      <c r="BGA70" s="254"/>
      <c r="BGB70" s="254"/>
      <c r="BGC70" s="254"/>
      <c r="BGD70" s="254"/>
      <c r="BGE70" s="254"/>
      <c r="BGF70" s="254"/>
      <c r="BGG70" s="254"/>
      <c r="BGH70" s="254"/>
      <c r="BGI70" s="254"/>
      <c r="BGJ70" s="254"/>
      <c r="BGK70" s="254"/>
      <c r="BGL70" s="254"/>
      <c r="BGM70" s="254"/>
      <c r="BGN70" s="254"/>
      <c r="BGO70" s="254"/>
      <c r="BGP70" s="254"/>
      <c r="BGQ70" s="254"/>
      <c r="BGR70" s="254"/>
      <c r="BGS70" s="254"/>
      <c r="BGT70" s="254"/>
      <c r="BGU70" s="254"/>
      <c r="BGV70" s="254"/>
      <c r="BGW70" s="254"/>
      <c r="BGX70" s="254"/>
      <c r="BGY70" s="254"/>
      <c r="BGZ70" s="254"/>
      <c r="BHA70" s="254"/>
      <c r="BHB70" s="254"/>
      <c r="BHC70" s="254"/>
      <c r="BHD70" s="254"/>
      <c r="BHE70" s="254"/>
      <c r="BHF70" s="254"/>
      <c r="BHG70" s="254"/>
      <c r="BHH70" s="254"/>
      <c r="BHI70" s="254"/>
      <c r="BHJ70" s="254"/>
      <c r="BHK70" s="254"/>
      <c r="BHL70" s="254"/>
      <c r="BHM70" s="254"/>
      <c r="BHN70" s="254"/>
      <c r="BHO70" s="254"/>
      <c r="BHP70" s="254"/>
      <c r="BHQ70" s="254"/>
      <c r="BHR70" s="254"/>
      <c r="BHS70" s="254"/>
      <c r="BHT70" s="254"/>
      <c r="BHU70" s="254"/>
      <c r="BHV70" s="254"/>
      <c r="BHW70" s="254"/>
      <c r="BHX70" s="254"/>
      <c r="BHY70" s="254"/>
      <c r="BHZ70" s="254"/>
      <c r="BIA70" s="254"/>
      <c r="BIB70" s="254"/>
      <c r="BIC70" s="254"/>
      <c r="BID70" s="254"/>
      <c r="BIE70" s="254"/>
      <c r="BIF70" s="254"/>
      <c r="BIG70" s="254"/>
      <c r="BIH70" s="254"/>
      <c r="BII70" s="254"/>
      <c r="BIJ70" s="254"/>
      <c r="BIK70" s="254"/>
      <c r="BIL70" s="254"/>
      <c r="BIM70" s="254"/>
      <c r="BIN70" s="254"/>
      <c r="BIO70" s="254"/>
      <c r="BIP70" s="254"/>
      <c r="BIQ70" s="254"/>
      <c r="BIR70" s="254"/>
      <c r="BIS70" s="254"/>
      <c r="BIT70" s="254"/>
      <c r="BIU70" s="254"/>
      <c r="BIV70" s="254"/>
      <c r="BIW70" s="254"/>
      <c r="BIX70" s="254"/>
      <c r="BIY70" s="254"/>
      <c r="BIZ70" s="254"/>
      <c r="BJA70" s="254"/>
      <c r="BJB70" s="254"/>
      <c r="BJC70" s="254"/>
      <c r="BJD70" s="254"/>
      <c r="BJE70" s="254"/>
      <c r="BJF70" s="254"/>
      <c r="BJG70" s="254"/>
      <c r="BJH70" s="254"/>
      <c r="BJI70" s="254"/>
      <c r="BJJ70" s="254"/>
      <c r="BJK70" s="254"/>
      <c r="BJL70" s="254"/>
      <c r="BJM70" s="254"/>
      <c r="BJN70" s="254"/>
      <c r="BJO70" s="254"/>
      <c r="BJP70" s="254"/>
      <c r="BJQ70" s="254"/>
      <c r="BJR70" s="254"/>
      <c r="BJS70" s="254"/>
      <c r="BJT70" s="254"/>
      <c r="BJU70" s="254"/>
      <c r="BJV70" s="254"/>
      <c r="BJW70" s="254"/>
      <c r="BJX70" s="254"/>
      <c r="BJY70" s="254"/>
      <c r="BJZ70" s="254"/>
      <c r="BKA70" s="254"/>
      <c r="BKB70" s="254"/>
      <c r="BKC70" s="254"/>
      <c r="BKD70" s="254"/>
      <c r="BKE70" s="254"/>
      <c r="BKF70" s="254"/>
      <c r="BKG70" s="254"/>
      <c r="BKH70" s="254"/>
      <c r="BKI70" s="254"/>
      <c r="BKJ70" s="254"/>
      <c r="BKK70" s="254"/>
      <c r="BKL70" s="254"/>
      <c r="BKM70" s="254"/>
      <c r="BKN70" s="254"/>
      <c r="BKO70" s="254"/>
      <c r="BKP70" s="254"/>
      <c r="BKQ70" s="254"/>
      <c r="BKR70" s="254"/>
      <c r="BKS70" s="254"/>
      <c r="BKT70" s="254"/>
      <c r="BKU70" s="254"/>
      <c r="BKV70" s="254"/>
      <c r="BKW70" s="254"/>
      <c r="BKX70" s="254"/>
      <c r="BKY70" s="254"/>
      <c r="BKZ70" s="254"/>
      <c r="BLA70" s="254"/>
      <c r="BLB70" s="254"/>
      <c r="BLC70" s="254"/>
      <c r="BLD70" s="254"/>
      <c r="BLE70" s="254"/>
      <c r="BLF70" s="254"/>
      <c r="BLG70" s="254"/>
      <c r="BLH70" s="254"/>
      <c r="BLI70" s="254"/>
      <c r="BLJ70" s="254"/>
      <c r="BLK70" s="254"/>
      <c r="BLL70" s="254"/>
      <c r="BLM70" s="254"/>
      <c r="BLN70" s="254"/>
      <c r="BLO70" s="254"/>
      <c r="BLP70" s="254"/>
      <c r="BLQ70" s="254"/>
      <c r="BLR70" s="254"/>
      <c r="BLS70" s="254"/>
      <c r="BLT70" s="254"/>
      <c r="BLU70" s="254"/>
      <c r="BLV70" s="254"/>
      <c r="BLW70" s="254"/>
      <c r="BLX70" s="254"/>
      <c r="BLY70" s="254"/>
      <c r="BLZ70" s="254"/>
      <c r="BMA70" s="254"/>
      <c r="BMB70" s="254"/>
      <c r="BMC70" s="254"/>
      <c r="BMD70" s="254"/>
      <c r="BME70" s="254"/>
      <c r="BMF70" s="254"/>
      <c r="BMG70" s="254"/>
      <c r="BMH70" s="254"/>
      <c r="BMI70" s="254"/>
      <c r="BMJ70" s="254"/>
      <c r="BMK70" s="254"/>
      <c r="BML70" s="254"/>
      <c r="BMM70" s="254"/>
      <c r="BMN70" s="254"/>
      <c r="BMO70" s="254"/>
      <c r="BMP70" s="254"/>
      <c r="BMQ70" s="254"/>
      <c r="BMR70" s="254"/>
      <c r="BMS70" s="254"/>
      <c r="BMT70" s="254"/>
      <c r="BMU70" s="254"/>
      <c r="BMV70" s="254"/>
      <c r="BMW70" s="254"/>
    </row>
    <row r="71" spans="1:1738" ht="13.5" customHeight="1" x14ac:dyDescent="0.25">
      <c r="A71" s="140" t="s">
        <v>168</v>
      </c>
      <c r="B71" s="15" t="s">
        <v>63</v>
      </c>
      <c r="C71" s="72">
        <v>116</v>
      </c>
      <c r="D71" s="477">
        <v>14.4</v>
      </c>
      <c r="E71" s="300">
        <v>35</v>
      </c>
      <c r="F71" s="298">
        <v>0.25714285714285712</v>
      </c>
      <c r="G71" s="287">
        <v>0.40699999999999997</v>
      </c>
      <c r="H71" s="14">
        <v>0.59089999999999998</v>
      </c>
      <c r="I71" s="284">
        <v>1</v>
      </c>
      <c r="J71" s="64" t="s">
        <v>273</v>
      </c>
      <c r="K71" s="395" t="s">
        <v>273</v>
      </c>
      <c r="L71" s="245">
        <v>1</v>
      </c>
      <c r="M71" s="252">
        <f>1/D71</f>
        <v>6.9444444444444448E-2</v>
      </c>
      <c r="N71" s="174"/>
      <c r="O71" s="176"/>
      <c r="P71" s="174"/>
      <c r="Q71" s="174"/>
    </row>
    <row r="72" spans="1:1738" x14ac:dyDescent="0.25">
      <c r="A72" s="294"/>
      <c r="B72" s="295"/>
      <c r="C72" s="296"/>
      <c r="D72" s="198"/>
      <c r="E72" s="194"/>
      <c r="F72" s="312"/>
      <c r="G72" s="288"/>
      <c r="H72" s="241"/>
      <c r="I72" s="470"/>
      <c r="J72" s="84"/>
      <c r="K72" s="397"/>
      <c r="L72" s="401"/>
      <c r="M72" s="247"/>
      <c r="N72" s="194"/>
      <c r="O72" s="194"/>
      <c r="P72" s="194"/>
      <c r="Q72" s="17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54"/>
      <c r="BS72" s="254"/>
      <c r="BT72" s="254"/>
      <c r="BU72" s="254"/>
      <c r="BV72" s="254"/>
      <c r="BW72" s="254"/>
      <c r="BX72" s="254"/>
      <c r="BY72" s="254"/>
      <c r="BZ72" s="254"/>
      <c r="CA72" s="254"/>
      <c r="CB72" s="254"/>
      <c r="CC72" s="254"/>
      <c r="CD72" s="254"/>
      <c r="CE72" s="254"/>
      <c r="CF72" s="254"/>
      <c r="CG72" s="254"/>
      <c r="CH72" s="254"/>
      <c r="CI72" s="254"/>
      <c r="CJ72" s="254"/>
      <c r="CK72" s="254"/>
      <c r="CL72" s="254"/>
      <c r="CM72" s="254"/>
      <c r="CN72" s="254"/>
      <c r="CO72" s="254"/>
      <c r="CP72" s="254"/>
      <c r="CQ72" s="254"/>
      <c r="CR72" s="254"/>
      <c r="CS72" s="254"/>
      <c r="CT72" s="254"/>
      <c r="CU72" s="254"/>
      <c r="CV72" s="254"/>
      <c r="CW72" s="254"/>
      <c r="CX72" s="254"/>
      <c r="CY72" s="254"/>
      <c r="CZ72" s="254"/>
      <c r="DA72" s="254"/>
      <c r="DB72" s="254"/>
      <c r="DC72" s="254"/>
      <c r="DD72" s="254"/>
      <c r="DE72" s="254"/>
      <c r="DF72" s="254"/>
      <c r="DG72" s="254"/>
      <c r="DH72" s="254"/>
      <c r="DI72" s="254"/>
      <c r="DJ72" s="254"/>
      <c r="DK72" s="254"/>
      <c r="DL72" s="254"/>
      <c r="DM72" s="254"/>
      <c r="DN72" s="254"/>
      <c r="DO72" s="254"/>
      <c r="DP72" s="254"/>
      <c r="DQ72" s="254"/>
      <c r="DR72" s="254"/>
      <c r="DS72" s="254"/>
      <c r="DT72" s="254"/>
      <c r="DU72" s="254"/>
      <c r="DV72" s="254"/>
      <c r="DW72" s="254"/>
      <c r="DX72" s="254"/>
      <c r="DY72" s="254"/>
      <c r="DZ72" s="254"/>
      <c r="EA72" s="254"/>
      <c r="EB72" s="254"/>
      <c r="EC72" s="254"/>
      <c r="ED72" s="254"/>
      <c r="EE72" s="254"/>
      <c r="EF72" s="254"/>
      <c r="EG72" s="254"/>
      <c r="EH72" s="254"/>
      <c r="EI72" s="254"/>
      <c r="EJ72" s="254"/>
      <c r="EK72" s="254"/>
      <c r="EL72" s="254"/>
      <c r="EM72" s="254"/>
      <c r="EN72" s="254"/>
      <c r="EO72" s="254"/>
      <c r="EP72" s="254"/>
      <c r="EQ72" s="254"/>
      <c r="ER72" s="254"/>
      <c r="ES72" s="254"/>
      <c r="ET72" s="254"/>
      <c r="EU72" s="254"/>
      <c r="EV72" s="254"/>
      <c r="EW72" s="254"/>
      <c r="EX72" s="254"/>
      <c r="EY72" s="254"/>
      <c r="EZ72" s="254"/>
      <c r="FA72" s="254"/>
      <c r="FB72" s="254"/>
      <c r="FC72" s="254"/>
      <c r="FD72" s="254"/>
      <c r="FE72" s="254"/>
      <c r="FF72" s="254"/>
      <c r="FG72" s="254"/>
      <c r="FH72" s="254"/>
      <c r="FI72" s="254"/>
      <c r="FJ72" s="254"/>
      <c r="FK72" s="254"/>
      <c r="FL72" s="254"/>
      <c r="FM72" s="254"/>
      <c r="FN72" s="254"/>
      <c r="FO72" s="254"/>
      <c r="FP72" s="254"/>
      <c r="FQ72" s="254"/>
      <c r="FR72" s="254"/>
      <c r="FS72" s="254"/>
      <c r="FT72" s="254"/>
      <c r="FU72" s="254"/>
      <c r="FV72" s="254"/>
      <c r="FW72" s="254"/>
      <c r="FX72" s="254"/>
      <c r="FY72" s="254"/>
      <c r="FZ72" s="254"/>
      <c r="GA72" s="254"/>
      <c r="GB72" s="254"/>
      <c r="GC72" s="254"/>
      <c r="GD72" s="254"/>
      <c r="GE72" s="254"/>
      <c r="GF72" s="254"/>
      <c r="GG72" s="254"/>
      <c r="GH72" s="254"/>
      <c r="GI72" s="254"/>
      <c r="GJ72" s="254"/>
      <c r="GK72" s="254"/>
      <c r="GL72" s="254"/>
      <c r="GM72" s="254"/>
      <c r="GN72" s="254"/>
      <c r="GO72" s="254"/>
      <c r="GP72" s="254"/>
      <c r="GQ72" s="254"/>
      <c r="GR72" s="254"/>
      <c r="GS72" s="254"/>
      <c r="GT72" s="254"/>
      <c r="GU72" s="254"/>
      <c r="GV72" s="254"/>
      <c r="GW72" s="254"/>
      <c r="GX72" s="254"/>
      <c r="GY72" s="254"/>
      <c r="GZ72" s="254"/>
      <c r="HA72" s="254"/>
      <c r="HB72" s="254"/>
      <c r="HC72" s="254"/>
      <c r="HD72" s="254"/>
      <c r="HE72" s="254"/>
      <c r="HF72" s="254"/>
      <c r="HG72" s="254"/>
      <c r="HH72" s="254"/>
      <c r="HI72" s="254"/>
      <c r="HJ72" s="254"/>
      <c r="HK72" s="254"/>
      <c r="HL72" s="254"/>
      <c r="HM72" s="254"/>
      <c r="HN72" s="254"/>
      <c r="HO72" s="254"/>
      <c r="HP72" s="254"/>
      <c r="HQ72" s="254"/>
      <c r="HR72" s="254"/>
      <c r="HS72" s="254"/>
      <c r="HT72" s="254"/>
      <c r="HU72" s="254"/>
      <c r="HV72" s="254"/>
      <c r="HW72" s="254"/>
      <c r="HX72" s="254"/>
      <c r="HY72" s="254"/>
      <c r="HZ72" s="254"/>
      <c r="IA72" s="254"/>
      <c r="IB72" s="254"/>
      <c r="IC72" s="254"/>
      <c r="ID72" s="254"/>
      <c r="IE72" s="254"/>
      <c r="IF72" s="254"/>
      <c r="IG72" s="254"/>
      <c r="IH72" s="254"/>
      <c r="II72" s="254"/>
      <c r="IJ72" s="254"/>
      <c r="IK72" s="254"/>
      <c r="IL72" s="254"/>
      <c r="IM72" s="254"/>
      <c r="IN72" s="254"/>
      <c r="IO72" s="254"/>
      <c r="IP72" s="254"/>
      <c r="IQ72" s="254"/>
      <c r="IR72" s="254"/>
      <c r="IS72" s="254"/>
      <c r="IT72" s="254"/>
      <c r="IU72" s="254"/>
      <c r="IV72" s="254"/>
      <c r="IW72" s="254"/>
      <c r="IX72" s="254"/>
      <c r="IY72" s="254"/>
      <c r="IZ72" s="254"/>
      <c r="JA72" s="254"/>
      <c r="JB72" s="254"/>
      <c r="JC72" s="254"/>
      <c r="JD72" s="254"/>
      <c r="JE72" s="254"/>
      <c r="JF72" s="254"/>
      <c r="JG72" s="254"/>
      <c r="JH72" s="254"/>
      <c r="JI72" s="254"/>
      <c r="JJ72" s="254"/>
      <c r="JK72" s="254"/>
      <c r="JL72" s="254"/>
      <c r="JM72" s="254"/>
      <c r="JN72" s="254"/>
      <c r="JO72" s="254"/>
      <c r="JP72" s="254"/>
      <c r="JQ72" s="254"/>
      <c r="JR72" s="254"/>
      <c r="JS72" s="254"/>
      <c r="JT72" s="254"/>
      <c r="JU72" s="254"/>
      <c r="JV72" s="254"/>
      <c r="JW72" s="254"/>
      <c r="JX72" s="254"/>
      <c r="JY72" s="254"/>
      <c r="JZ72" s="254"/>
      <c r="KA72" s="254"/>
      <c r="KB72" s="254"/>
      <c r="KC72" s="254"/>
      <c r="KD72" s="254"/>
      <c r="KE72" s="254"/>
      <c r="KF72" s="254"/>
      <c r="KG72" s="254"/>
      <c r="KH72" s="254"/>
      <c r="KI72" s="254"/>
      <c r="KJ72" s="254"/>
      <c r="KK72" s="254"/>
      <c r="KL72" s="254"/>
      <c r="KM72" s="254"/>
      <c r="KN72" s="254"/>
      <c r="KO72" s="254"/>
      <c r="KP72" s="254"/>
      <c r="KQ72" s="254"/>
      <c r="KR72" s="254"/>
      <c r="KS72" s="254"/>
      <c r="KT72" s="254"/>
      <c r="KU72" s="254"/>
      <c r="KV72" s="254"/>
      <c r="KW72" s="254"/>
      <c r="KX72" s="254"/>
      <c r="KY72" s="254"/>
      <c r="KZ72" s="254"/>
      <c r="LA72" s="254"/>
      <c r="LB72" s="254"/>
      <c r="LC72" s="254"/>
      <c r="LD72" s="254"/>
      <c r="LE72" s="254"/>
      <c r="LF72" s="254"/>
      <c r="LG72" s="254"/>
      <c r="LH72" s="254"/>
      <c r="LI72" s="254"/>
      <c r="LJ72" s="254"/>
      <c r="LK72" s="254"/>
      <c r="LL72" s="254"/>
      <c r="LM72" s="254"/>
      <c r="LN72" s="254"/>
      <c r="LO72" s="254"/>
      <c r="LP72" s="254"/>
      <c r="LQ72" s="254"/>
      <c r="LR72" s="254"/>
      <c r="LS72" s="254"/>
      <c r="LT72" s="254"/>
      <c r="LU72" s="254"/>
      <c r="LV72" s="254"/>
      <c r="LW72" s="254"/>
      <c r="LX72" s="254"/>
      <c r="LY72" s="254"/>
      <c r="LZ72" s="254"/>
      <c r="MA72" s="254"/>
      <c r="MB72" s="254"/>
      <c r="MC72" s="254"/>
      <c r="MD72" s="254"/>
      <c r="ME72" s="254"/>
      <c r="MF72" s="254"/>
      <c r="MG72" s="254"/>
      <c r="MH72" s="254"/>
      <c r="MI72" s="254"/>
      <c r="MJ72" s="254"/>
      <c r="MK72" s="254"/>
      <c r="ML72" s="254"/>
      <c r="MM72" s="254"/>
      <c r="MN72" s="254"/>
      <c r="MO72" s="254"/>
      <c r="MP72" s="254"/>
      <c r="MQ72" s="254"/>
      <c r="MR72" s="254"/>
      <c r="MS72" s="254"/>
      <c r="MT72" s="254"/>
      <c r="MU72" s="254"/>
      <c r="MV72" s="254"/>
      <c r="MW72" s="254"/>
      <c r="MX72" s="254"/>
      <c r="MY72" s="254"/>
      <c r="MZ72" s="254"/>
      <c r="NA72" s="254"/>
      <c r="NB72" s="254"/>
      <c r="NC72" s="254"/>
      <c r="ND72" s="254"/>
      <c r="NE72" s="254"/>
      <c r="NF72" s="254"/>
      <c r="NG72" s="254"/>
      <c r="NH72" s="254"/>
      <c r="NI72" s="254"/>
      <c r="NJ72" s="254"/>
      <c r="NK72" s="254"/>
      <c r="NL72" s="254"/>
      <c r="NM72" s="254"/>
      <c r="NN72" s="254"/>
      <c r="NO72" s="254"/>
      <c r="NP72" s="254"/>
      <c r="NQ72" s="254"/>
      <c r="NR72" s="254"/>
      <c r="NS72" s="254"/>
      <c r="NT72" s="254"/>
      <c r="NU72" s="254"/>
      <c r="NV72" s="254"/>
      <c r="NW72" s="254"/>
      <c r="NX72" s="254"/>
      <c r="NY72" s="254"/>
      <c r="NZ72" s="254"/>
      <c r="OA72" s="254"/>
      <c r="OB72" s="254"/>
      <c r="OC72" s="254"/>
      <c r="OD72" s="254"/>
      <c r="OE72" s="254"/>
      <c r="OF72" s="254"/>
      <c r="OG72" s="254"/>
      <c r="OH72" s="254"/>
      <c r="OI72" s="254"/>
      <c r="OJ72" s="254"/>
      <c r="OK72" s="254"/>
      <c r="OL72" s="254"/>
      <c r="OM72" s="254"/>
      <c r="ON72" s="254"/>
      <c r="OO72" s="254"/>
      <c r="OP72" s="254"/>
      <c r="OQ72" s="254"/>
      <c r="OR72" s="254"/>
      <c r="OS72" s="254"/>
      <c r="OT72" s="254"/>
      <c r="OU72" s="254"/>
      <c r="OV72" s="254"/>
      <c r="OW72" s="254"/>
      <c r="OX72" s="254"/>
      <c r="OY72" s="254"/>
      <c r="OZ72" s="254"/>
      <c r="PA72" s="254"/>
      <c r="PB72" s="254"/>
      <c r="PC72" s="254"/>
      <c r="PD72" s="254"/>
      <c r="PE72" s="254"/>
      <c r="PF72" s="254"/>
      <c r="PG72" s="254"/>
      <c r="PH72" s="254"/>
      <c r="PI72" s="254"/>
      <c r="PJ72" s="254"/>
      <c r="PK72" s="254"/>
      <c r="PL72" s="254"/>
      <c r="PM72" s="254"/>
      <c r="PN72" s="254"/>
      <c r="PO72" s="254"/>
      <c r="PP72" s="254"/>
      <c r="PQ72" s="254"/>
      <c r="PR72" s="254"/>
      <c r="PS72" s="254"/>
      <c r="PT72" s="254"/>
      <c r="PU72" s="254"/>
      <c r="PV72" s="254"/>
      <c r="PW72" s="254"/>
      <c r="PX72" s="254"/>
      <c r="PY72" s="254"/>
      <c r="PZ72" s="254"/>
      <c r="QA72" s="254"/>
      <c r="QB72" s="254"/>
      <c r="QC72" s="254"/>
      <c r="QD72" s="254"/>
      <c r="QE72" s="254"/>
      <c r="QF72" s="254"/>
      <c r="QG72" s="254"/>
      <c r="QH72" s="254"/>
      <c r="QI72" s="254"/>
      <c r="QJ72" s="254"/>
      <c r="QK72" s="254"/>
      <c r="QL72" s="254"/>
      <c r="QM72" s="254"/>
      <c r="QN72" s="254"/>
      <c r="QO72" s="254"/>
      <c r="QP72" s="254"/>
      <c r="QQ72" s="254"/>
      <c r="QR72" s="254"/>
      <c r="QS72" s="254"/>
      <c r="QT72" s="254"/>
      <c r="QU72" s="254"/>
      <c r="QV72" s="254"/>
      <c r="QW72" s="254"/>
      <c r="QX72" s="254"/>
      <c r="QY72" s="254"/>
      <c r="QZ72" s="254"/>
      <c r="RA72" s="254"/>
      <c r="RB72" s="254"/>
      <c r="RC72" s="254"/>
      <c r="RD72" s="254"/>
      <c r="RE72" s="254"/>
      <c r="RF72" s="254"/>
      <c r="RG72" s="254"/>
      <c r="RH72" s="254"/>
      <c r="RI72" s="254"/>
      <c r="RJ72" s="254"/>
      <c r="RK72" s="254"/>
      <c r="RL72" s="254"/>
      <c r="RM72" s="254"/>
      <c r="RN72" s="254"/>
      <c r="RO72" s="254"/>
      <c r="RP72" s="254"/>
      <c r="RQ72" s="254"/>
      <c r="RR72" s="254"/>
      <c r="RS72" s="254"/>
      <c r="RT72" s="254"/>
      <c r="RU72" s="254"/>
      <c r="RV72" s="254"/>
      <c r="RW72" s="254"/>
      <c r="RX72" s="254"/>
      <c r="RY72" s="254"/>
      <c r="RZ72" s="254"/>
      <c r="SA72" s="254"/>
      <c r="SB72" s="254"/>
      <c r="SC72" s="254"/>
      <c r="SD72" s="254"/>
      <c r="SE72" s="254"/>
      <c r="SF72" s="254"/>
      <c r="SG72" s="254"/>
      <c r="SH72" s="254"/>
      <c r="SI72" s="254"/>
      <c r="SJ72" s="254"/>
      <c r="SK72" s="254"/>
      <c r="SL72" s="254"/>
      <c r="SM72" s="254"/>
      <c r="SN72" s="254"/>
      <c r="SO72" s="254"/>
      <c r="SP72" s="254"/>
      <c r="SQ72" s="254"/>
      <c r="SR72" s="254"/>
      <c r="SS72" s="254"/>
      <c r="ST72" s="254"/>
      <c r="SU72" s="254"/>
      <c r="SV72" s="254"/>
      <c r="SW72" s="254"/>
      <c r="SX72" s="254"/>
      <c r="SY72" s="254"/>
      <c r="SZ72" s="254"/>
      <c r="TA72" s="254"/>
      <c r="TB72" s="254"/>
      <c r="TC72" s="254"/>
      <c r="TD72" s="254"/>
      <c r="TE72" s="254"/>
      <c r="TF72" s="254"/>
      <c r="TG72" s="254"/>
      <c r="TH72" s="254"/>
      <c r="TI72" s="254"/>
      <c r="TJ72" s="254"/>
      <c r="TK72" s="254"/>
      <c r="TL72" s="254"/>
      <c r="TM72" s="254"/>
      <c r="TN72" s="254"/>
      <c r="TO72" s="254"/>
      <c r="TP72" s="254"/>
      <c r="TQ72" s="254"/>
      <c r="TR72" s="254"/>
      <c r="TS72" s="254"/>
      <c r="TT72" s="254"/>
      <c r="TU72" s="254"/>
      <c r="TV72" s="254"/>
      <c r="TW72" s="254"/>
      <c r="TX72" s="254"/>
      <c r="TY72" s="254"/>
      <c r="TZ72" s="254"/>
      <c r="UA72" s="254"/>
      <c r="UB72" s="254"/>
      <c r="UC72" s="254"/>
      <c r="UD72" s="254"/>
      <c r="UE72" s="254"/>
      <c r="UF72" s="254"/>
      <c r="UG72" s="254"/>
      <c r="UH72" s="254"/>
      <c r="UI72" s="254"/>
      <c r="UJ72" s="254"/>
      <c r="UK72" s="254"/>
      <c r="UL72" s="254"/>
      <c r="UM72" s="254"/>
      <c r="UN72" s="254"/>
      <c r="UO72" s="254"/>
      <c r="UP72" s="254"/>
      <c r="UQ72" s="254"/>
      <c r="UR72" s="254"/>
      <c r="US72" s="254"/>
      <c r="UT72" s="254"/>
      <c r="UU72" s="254"/>
      <c r="UV72" s="254"/>
      <c r="UW72" s="254"/>
      <c r="UX72" s="254"/>
      <c r="UY72" s="254"/>
      <c r="UZ72" s="254"/>
      <c r="VA72" s="254"/>
      <c r="VB72" s="254"/>
      <c r="VC72" s="254"/>
      <c r="VD72" s="254"/>
      <c r="VE72" s="254"/>
      <c r="VF72" s="254"/>
      <c r="VG72" s="254"/>
      <c r="VH72" s="254"/>
      <c r="VI72" s="254"/>
      <c r="VJ72" s="254"/>
      <c r="VK72" s="254"/>
      <c r="VL72" s="254"/>
      <c r="VM72" s="254"/>
      <c r="VN72" s="254"/>
      <c r="VO72" s="254"/>
      <c r="VP72" s="254"/>
      <c r="VQ72" s="254"/>
      <c r="VR72" s="254"/>
      <c r="VS72" s="254"/>
      <c r="VT72" s="254"/>
      <c r="VU72" s="254"/>
      <c r="VV72" s="254"/>
      <c r="VW72" s="254"/>
      <c r="VX72" s="254"/>
      <c r="VY72" s="254"/>
      <c r="VZ72" s="254"/>
      <c r="WA72" s="254"/>
      <c r="WB72" s="254"/>
      <c r="WC72" s="254"/>
      <c r="WD72" s="254"/>
      <c r="WE72" s="254"/>
      <c r="WF72" s="254"/>
      <c r="WG72" s="254"/>
      <c r="WH72" s="254"/>
      <c r="WI72" s="254"/>
      <c r="WJ72" s="254"/>
      <c r="WK72" s="254"/>
      <c r="WL72" s="254"/>
      <c r="WM72" s="254"/>
      <c r="WN72" s="254"/>
      <c r="WO72" s="254"/>
      <c r="WP72" s="254"/>
      <c r="WQ72" s="254"/>
      <c r="WR72" s="254"/>
      <c r="WS72" s="254"/>
      <c r="WT72" s="254"/>
      <c r="WU72" s="254"/>
      <c r="WV72" s="254"/>
      <c r="WW72" s="254"/>
      <c r="WX72" s="254"/>
      <c r="WY72" s="254"/>
      <c r="WZ72" s="254"/>
      <c r="XA72" s="254"/>
      <c r="XB72" s="254"/>
      <c r="XC72" s="254"/>
      <c r="XD72" s="254"/>
      <c r="XE72" s="254"/>
      <c r="XF72" s="254"/>
      <c r="XG72" s="254"/>
      <c r="XH72" s="254"/>
      <c r="XI72" s="254"/>
      <c r="XJ72" s="254"/>
      <c r="XK72" s="254"/>
      <c r="XL72" s="254"/>
      <c r="XM72" s="254"/>
      <c r="XN72" s="254"/>
      <c r="XO72" s="254"/>
      <c r="XP72" s="254"/>
      <c r="XQ72" s="254"/>
      <c r="XR72" s="254"/>
      <c r="XS72" s="254"/>
      <c r="XT72" s="254"/>
      <c r="XU72" s="254"/>
      <c r="XV72" s="254"/>
      <c r="XW72" s="254"/>
      <c r="XX72" s="254"/>
      <c r="XY72" s="254"/>
      <c r="XZ72" s="254"/>
      <c r="YA72" s="254"/>
      <c r="YB72" s="254"/>
      <c r="YC72" s="254"/>
      <c r="YD72" s="254"/>
      <c r="YE72" s="254"/>
      <c r="YF72" s="254"/>
      <c r="YG72" s="254"/>
      <c r="YH72" s="254"/>
      <c r="YI72" s="254"/>
      <c r="YJ72" s="254"/>
      <c r="YK72" s="254"/>
      <c r="YL72" s="254"/>
      <c r="YM72" s="254"/>
      <c r="YN72" s="254"/>
      <c r="YO72" s="254"/>
      <c r="YP72" s="254"/>
      <c r="YQ72" s="254"/>
      <c r="YR72" s="254"/>
      <c r="YS72" s="254"/>
      <c r="YT72" s="254"/>
      <c r="YU72" s="254"/>
      <c r="YV72" s="254"/>
      <c r="YW72" s="254"/>
      <c r="YX72" s="254"/>
      <c r="YY72" s="254"/>
      <c r="YZ72" s="254"/>
      <c r="ZA72" s="254"/>
      <c r="ZB72" s="254"/>
      <c r="ZC72" s="254"/>
      <c r="ZD72" s="254"/>
      <c r="ZE72" s="254"/>
      <c r="ZF72" s="254"/>
      <c r="ZG72" s="254"/>
      <c r="ZH72" s="254"/>
      <c r="ZI72" s="254"/>
      <c r="ZJ72" s="254"/>
      <c r="ZK72" s="254"/>
      <c r="ZL72" s="254"/>
      <c r="ZM72" s="254"/>
      <c r="ZN72" s="254"/>
      <c r="ZO72" s="254"/>
      <c r="ZP72" s="254"/>
      <c r="ZQ72" s="254"/>
      <c r="ZR72" s="254"/>
      <c r="ZS72" s="254"/>
      <c r="ZT72" s="254"/>
      <c r="ZU72" s="254"/>
      <c r="ZV72" s="254"/>
      <c r="ZW72" s="254"/>
      <c r="ZX72" s="254"/>
      <c r="ZY72" s="254"/>
      <c r="ZZ72" s="254"/>
      <c r="AAA72" s="254"/>
      <c r="AAB72" s="254"/>
      <c r="AAC72" s="254"/>
      <c r="AAD72" s="254"/>
      <c r="AAE72" s="254"/>
      <c r="AAF72" s="254"/>
      <c r="AAG72" s="254"/>
      <c r="AAH72" s="254"/>
      <c r="AAI72" s="254"/>
      <c r="AAJ72" s="254"/>
      <c r="AAK72" s="254"/>
      <c r="AAL72" s="254"/>
      <c r="AAM72" s="254"/>
      <c r="AAN72" s="254"/>
      <c r="AAO72" s="254"/>
      <c r="AAP72" s="254"/>
      <c r="AAQ72" s="254"/>
      <c r="AAR72" s="254"/>
      <c r="AAS72" s="254"/>
      <c r="AAT72" s="254"/>
      <c r="AAU72" s="254"/>
      <c r="AAV72" s="254"/>
      <c r="AAW72" s="254"/>
      <c r="AAX72" s="254"/>
      <c r="AAY72" s="254"/>
      <c r="AAZ72" s="254"/>
      <c r="ABA72" s="254"/>
      <c r="ABB72" s="254"/>
      <c r="ABC72" s="254"/>
      <c r="ABD72" s="254"/>
      <c r="ABE72" s="254"/>
      <c r="ABF72" s="254"/>
      <c r="ABG72" s="254"/>
      <c r="ABH72" s="254"/>
      <c r="ABI72" s="254"/>
      <c r="ABJ72" s="254"/>
      <c r="ABK72" s="254"/>
      <c r="ABL72" s="254"/>
      <c r="ABM72" s="254"/>
      <c r="ABN72" s="254"/>
      <c r="ABO72" s="254"/>
      <c r="ABP72" s="254"/>
      <c r="ABQ72" s="254"/>
      <c r="ABR72" s="254"/>
      <c r="ABS72" s="254"/>
      <c r="ABT72" s="254"/>
      <c r="ABU72" s="254"/>
      <c r="ABV72" s="254"/>
      <c r="ABW72" s="254"/>
      <c r="ABX72" s="254"/>
      <c r="ABY72" s="254"/>
      <c r="ABZ72" s="254"/>
      <c r="ACA72" s="254"/>
      <c r="ACB72" s="254"/>
      <c r="ACC72" s="254"/>
      <c r="ACD72" s="254"/>
      <c r="ACE72" s="254"/>
      <c r="ACF72" s="254"/>
      <c r="ACG72" s="254"/>
      <c r="ACH72" s="254"/>
      <c r="ACI72" s="254"/>
      <c r="ACJ72" s="254"/>
      <c r="ACK72" s="254"/>
      <c r="ACL72" s="254"/>
      <c r="ACM72" s="254"/>
      <c r="ACN72" s="254"/>
      <c r="ACO72" s="254"/>
      <c r="ACP72" s="254"/>
      <c r="ACQ72" s="254"/>
      <c r="ACR72" s="254"/>
      <c r="ACS72" s="254"/>
      <c r="ACT72" s="254"/>
      <c r="ACU72" s="254"/>
      <c r="ACV72" s="254"/>
      <c r="ACW72" s="254"/>
      <c r="ACX72" s="254"/>
      <c r="ACY72" s="254"/>
      <c r="ACZ72" s="254"/>
      <c r="ADA72" s="254"/>
      <c r="ADB72" s="254"/>
      <c r="ADC72" s="254"/>
      <c r="ADD72" s="254"/>
      <c r="ADE72" s="254"/>
      <c r="ADF72" s="254"/>
      <c r="ADG72" s="254"/>
      <c r="ADH72" s="254"/>
      <c r="ADI72" s="254"/>
      <c r="ADJ72" s="254"/>
      <c r="ADK72" s="254"/>
      <c r="ADL72" s="254"/>
      <c r="ADM72" s="254"/>
      <c r="ADN72" s="254"/>
      <c r="ADO72" s="254"/>
      <c r="ADP72" s="254"/>
      <c r="ADQ72" s="254"/>
      <c r="ADR72" s="254"/>
      <c r="ADS72" s="254"/>
      <c r="ADT72" s="254"/>
      <c r="ADU72" s="254"/>
      <c r="ADV72" s="254"/>
      <c r="ADW72" s="254"/>
      <c r="ADX72" s="254"/>
      <c r="ADY72" s="254"/>
      <c r="ADZ72" s="254"/>
      <c r="AEA72" s="254"/>
      <c r="AEB72" s="254"/>
      <c r="AEC72" s="254"/>
      <c r="AED72" s="254"/>
      <c r="AEE72" s="254"/>
      <c r="AEF72" s="254"/>
      <c r="AEG72" s="254"/>
      <c r="AEH72" s="254"/>
      <c r="AEI72" s="254"/>
      <c r="AEJ72" s="254"/>
      <c r="AEK72" s="254"/>
      <c r="AEL72" s="254"/>
      <c r="AEM72" s="254"/>
      <c r="AEN72" s="254"/>
      <c r="AEO72" s="254"/>
      <c r="AEP72" s="254"/>
      <c r="AEQ72" s="254"/>
      <c r="AER72" s="254"/>
      <c r="AES72" s="254"/>
      <c r="AET72" s="254"/>
      <c r="AEU72" s="254"/>
      <c r="AEV72" s="254"/>
      <c r="AEW72" s="254"/>
      <c r="AEX72" s="254"/>
      <c r="AEY72" s="254"/>
      <c r="AEZ72" s="254"/>
      <c r="AFA72" s="254"/>
      <c r="AFB72" s="254"/>
      <c r="AFC72" s="254"/>
      <c r="AFD72" s="254"/>
      <c r="AFE72" s="254"/>
      <c r="AFF72" s="254"/>
      <c r="AFG72" s="254"/>
      <c r="AFH72" s="254"/>
      <c r="AFI72" s="254"/>
      <c r="AFJ72" s="254"/>
      <c r="AFK72" s="254"/>
      <c r="AFL72" s="254"/>
      <c r="AFM72" s="254"/>
      <c r="AFN72" s="254"/>
      <c r="AFO72" s="254"/>
      <c r="AFP72" s="254"/>
      <c r="AFQ72" s="254"/>
      <c r="AFR72" s="254"/>
      <c r="AFS72" s="254"/>
      <c r="AFT72" s="254"/>
      <c r="AFU72" s="254"/>
      <c r="AFV72" s="254"/>
      <c r="AFW72" s="254"/>
      <c r="AFX72" s="254"/>
      <c r="AFY72" s="254"/>
      <c r="AFZ72" s="254"/>
      <c r="AGA72" s="254"/>
      <c r="AGB72" s="254"/>
      <c r="AGC72" s="254"/>
      <c r="AGD72" s="254"/>
      <c r="AGE72" s="254"/>
      <c r="AGF72" s="254"/>
      <c r="AGG72" s="254"/>
      <c r="AGH72" s="254"/>
      <c r="AGI72" s="254"/>
      <c r="AGJ72" s="254"/>
      <c r="AGK72" s="254"/>
      <c r="AGL72" s="254"/>
      <c r="AGM72" s="254"/>
      <c r="AGN72" s="254"/>
      <c r="AGO72" s="254"/>
      <c r="AGP72" s="254"/>
      <c r="AGQ72" s="254"/>
      <c r="AGR72" s="254"/>
      <c r="AGS72" s="254"/>
      <c r="AGT72" s="254"/>
      <c r="AGU72" s="254"/>
      <c r="AGV72" s="254"/>
      <c r="AGW72" s="254"/>
      <c r="AGX72" s="254"/>
      <c r="AGY72" s="254"/>
      <c r="AGZ72" s="254"/>
      <c r="AHA72" s="254"/>
      <c r="AHB72" s="254"/>
      <c r="AHC72" s="254"/>
      <c r="AHD72" s="254"/>
      <c r="AHE72" s="254"/>
      <c r="AHF72" s="254"/>
      <c r="AHG72" s="254"/>
      <c r="AHH72" s="254"/>
      <c r="AHI72" s="254"/>
      <c r="AHJ72" s="254"/>
      <c r="AHK72" s="254"/>
      <c r="AHL72" s="254"/>
      <c r="AHM72" s="254"/>
      <c r="AHN72" s="254"/>
      <c r="AHO72" s="254"/>
      <c r="AHP72" s="254"/>
      <c r="AHQ72" s="254"/>
      <c r="AHR72" s="254"/>
      <c r="AHS72" s="254"/>
      <c r="AHT72" s="254"/>
      <c r="AHU72" s="254"/>
      <c r="AHV72" s="254"/>
      <c r="AHW72" s="254"/>
      <c r="AHX72" s="254"/>
      <c r="AHY72" s="254"/>
      <c r="AHZ72" s="254"/>
      <c r="AIA72" s="254"/>
      <c r="AIB72" s="254"/>
      <c r="AIC72" s="254"/>
      <c r="AID72" s="254"/>
      <c r="AIE72" s="254"/>
      <c r="AIF72" s="254"/>
      <c r="AIG72" s="254"/>
      <c r="AIH72" s="254"/>
      <c r="AII72" s="254"/>
      <c r="AIJ72" s="254"/>
      <c r="AIK72" s="254"/>
      <c r="AIL72" s="254"/>
      <c r="AIM72" s="254"/>
      <c r="AIN72" s="254"/>
      <c r="AIO72" s="254"/>
      <c r="AIP72" s="254"/>
      <c r="AIQ72" s="254"/>
      <c r="AIR72" s="254"/>
      <c r="AIS72" s="254"/>
      <c r="AIT72" s="254"/>
      <c r="AIU72" s="254"/>
      <c r="AIV72" s="254"/>
      <c r="AIW72" s="254"/>
      <c r="AIX72" s="254"/>
      <c r="AIY72" s="254"/>
      <c r="AIZ72" s="254"/>
      <c r="AJA72" s="254"/>
      <c r="AJB72" s="254"/>
      <c r="AJC72" s="254"/>
      <c r="AJD72" s="254"/>
      <c r="AJE72" s="254"/>
      <c r="AJF72" s="254"/>
      <c r="AJG72" s="254"/>
      <c r="AJH72" s="254"/>
      <c r="AJI72" s="254"/>
      <c r="AJJ72" s="254"/>
      <c r="AJK72" s="254"/>
      <c r="AJL72" s="254"/>
      <c r="AJM72" s="254"/>
      <c r="AJN72" s="254"/>
      <c r="AJO72" s="254"/>
      <c r="AJP72" s="254"/>
      <c r="AJQ72" s="254"/>
      <c r="AJR72" s="254"/>
      <c r="AJS72" s="254"/>
      <c r="AJT72" s="254"/>
      <c r="AJU72" s="254"/>
      <c r="AJV72" s="254"/>
      <c r="AJW72" s="254"/>
      <c r="AJX72" s="254"/>
      <c r="AJY72" s="254"/>
      <c r="AJZ72" s="254"/>
      <c r="AKA72" s="254"/>
      <c r="AKB72" s="254"/>
      <c r="AKC72" s="254"/>
      <c r="AKD72" s="254"/>
      <c r="AKE72" s="254"/>
      <c r="AKF72" s="254"/>
      <c r="AKG72" s="254"/>
      <c r="AKH72" s="254"/>
      <c r="AKI72" s="254"/>
      <c r="AKJ72" s="254"/>
      <c r="AKK72" s="254"/>
      <c r="AKL72" s="254"/>
      <c r="AKM72" s="254"/>
      <c r="AKN72" s="254"/>
      <c r="AKO72" s="254"/>
      <c r="AKP72" s="254"/>
      <c r="AKQ72" s="254"/>
      <c r="AKR72" s="254"/>
      <c r="AKS72" s="254"/>
      <c r="AKT72" s="254"/>
      <c r="AKU72" s="254"/>
      <c r="AKV72" s="254"/>
      <c r="AKW72" s="254"/>
      <c r="AKX72" s="254"/>
      <c r="AKY72" s="254"/>
      <c r="AKZ72" s="254"/>
      <c r="ALA72" s="254"/>
      <c r="ALB72" s="254"/>
      <c r="ALC72" s="254"/>
      <c r="ALD72" s="254"/>
      <c r="ALE72" s="254"/>
      <c r="ALF72" s="254"/>
      <c r="ALG72" s="254"/>
      <c r="ALH72" s="254"/>
      <c r="ALI72" s="254"/>
      <c r="ALJ72" s="254"/>
      <c r="ALK72" s="254"/>
      <c r="ALL72" s="254"/>
      <c r="ALM72" s="254"/>
      <c r="ALN72" s="254"/>
      <c r="ALO72" s="254"/>
      <c r="ALP72" s="254"/>
      <c r="ALQ72" s="254"/>
      <c r="ALR72" s="254"/>
      <c r="ALS72" s="254"/>
      <c r="ALT72" s="254"/>
      <c r="ALU72" s="254"/>
      <c r="ALV72" s="254"/>
      <c r="ALW72" s="254"/>
      <c r="ALX72" s="254"/>
      <c r="ALY72" s="254"/>
      <c r="ALZ72" s="254"/>
      <c r="AMA72" s="254"/>
      <c r="AMB72" s="254"/>
      <c r="AMC72" s="254"/>
      <c r="AMD72" s="254"/>
      <c r="AME72" s="254"/>
      <c r="AMF72" s="254"/>
      <c r="AMG72" s="254"/>
      <c r="AMH72" s="254"/>
      <c r="AMI72" s="254"/>
      <c r="AMJ72" s="254"/>
      <c r="AMK72" s="254"/>
      <c r="AML72" s="254"/>
      <c r="AMM72" s="254"/>
      <c r="AMN72" s="254"/>
      <c r="AMO72" s="254"/>
      <c r="AMP72" s="254"/>
      <c r="AMQ72" s="254"/>
      <c r="AMR72" s="254"/>
      <c r="AMS72" s="254"/>
      <c r="AMT72" s="254"/>
      <c r="AMU72" s="254"/>
      <c r="AMV72" s="254"/>
      <c r="AMW72" s="254"/>
      <c r="AMX72" s="254"/>
      <c r="AMY72" s="254"/>
      <c r="AMZ72" s="254"/>
      <c r="ANA72" s="254"/>
      <c r="ANB72" s="254"/>
      <c r="ANC72" s="254"/>
      <c r="AND72" s="254"/>
      <c r="ANE72" s="254"/>
      <c r="ANF72" s="254"/>
      <c r="ANG72" s="254"/>
      <c r="ANH72" s="254"/>
      <c r="ANI72" s="254"/>
      <c r="ANJ72" s="254"/>
      <c r="ANK72" s="254"/>
      <c r="ANL72" s="254"/>
      <c r="ANM72" s="254"/>
      <c r="ANN72" s="254"/>
      <c r="ANO72" s="254"/>
      <c r="ANP72" s="254"/>
      <c r="ANQ72" s="254"/>
      <c r="ANR72" s="254"/>
      <c r="ANS72" s="254"/>
      <c r="ANT72" s="254"/>
      <c r="ANU72" s="254"/>
      <c r="ANV72" s="254"/>
      <c r="ANW72" s="254"/>
      <c r="ANX72" s="254"/>
      <c r="ANY72" s="254"/>
      <c r="ANZ72" s="254"/>
      <c r="AOA72" s="254"/>
      <c r="AOB72" s="254"/>
      <c r="AOC72" s="254"/>
      <c r="AOD72" s="254"/>
      <c r="AOE72" s="254"/>
      <c r="AOF72" s="254"/>
      <c r="AOG72" s="254"/>
      <c r="AOH72" s="254"/>
      <c r="AOI72" s="254"/>
      <c r="AOJ72" s="254"/>
      <c r="AOK72" s="254"/>
      <c r="AOL72" s="254"/>
      <c r="AOM72" s="254"/>
      <c r="AON72" s="254"/>
      <c r="AOO72" s="254"/>
      <c r="AOP72" s="254"/>
      <c r="AOQ72" s="254"/>
      <c r="AOR72" s="254"/>
      <c r="AOS72" s="254"/>
      <c r="AOT72" s="254"/>
      <c r="AOU72" s="254"/>
      <c r="AOV72" s="254"/>
      <c r="AOW72" s="254"/>
      <c r="AOX72" s="254"/>
      <c r="AOY72" s="254"/>
      <c r="AOZ72" s="254"/>
      <c r="APA72" s="254"/>
      <c r="APB72" s="254"/>
      <c r="APC72" s="254"/>
      <c r="APD72" s="254"/>
      <c r="APE72" s="254"/>
      <c r="APF72" s="254"/>
      <c r="APG72" s="254"/>
      <c r="APH72" s="254"/>
      <c r="API72" s="254"/>
      <c r="APJ72" s="254"/>
      <c r="APK72" s="254"/>
      <c r="APL72" s="254"/>
      <c r="APM72" s="254"/>
      <c r="APN72" s="254"/>
      <c r="APO72" s="254"/>
      <c r="APP72" s="254"/>
      <c r="APQ72" s="254"/>
      <c r="APR72" s="254"/>
      <c r="APS72" s="254"/>
      <c r="APT72" s="254"/>
      <c r="APU72" s="254"/>
      <c r="APV72" s="254"/>
      <c r="APW72" s="254"/>
      <c r="APX72" s="254"/>
      <c r="APY72" s="254"/>
      <c r="APZ72" s="254"/>
      <c r="AQA72" s="254"/>
      <c r="AQB72" s="254"/>
      <c r="AQC72" s="254"/>
      <c r="AQD72" s="254"/>
      <c r="AQE72" s="254"/>
      <c r="AQF72" s="254"/>
      <c r="AQG72" s="254"/>
      <c r="AQH72" s="254"/>
      <c r="AQI72" s="254"/>
      <c r="AQJ72" s="254"/>
      <c r="AQK72" s="254"/>
      <c r="AQL72" s="254"/>
      <c r="AQM72" s="254"/>
      <c r="AQN72" s="254"/>
      <c r="AQO72" s="254"/>
      <c r="AQP72" s="254"/>
      <c r="AQQ72" s="254"/>
      <c r="AQR72" s="254"/>
      <c r="AQS72" s="254"/>
      <c r="AQT72" s="254"/>
      <c r="AQU72" s="254"/>
      <c r="AQV72" s="254"/>
      <c r="AQW72" s="254"/>
      <c r="AQX72" s="254"/>
      <c r="AQY72" s="254"/>
      <c r="AQZ72" s="254"/>
      <c r="ARA72" s="254"/>
      <c r="ARB72" s="254"/>
      <c r="ARC72" s="254"/>
      <c r="ARD72" s="254"/>
      <c r="ARE72" s="254"/>
      <c r="ARF72" s="254"/>
      <c r="ARG72" s="254"/>
      <c r="ARH72" s="254"/>
      <c r="ARI72" s="254"/>
      <c r="ARJ72" s="254"/>
      <c r="ARK72" s="254"/>
      <c r="ARL72" s="254"/>
      <c r="ARM72" s="254"/>
      <c r="ARN72" s="254"/>
      <c r="ARO72" s="254"/>
      <c r="ARP72" s="254"/>
      <c r="ARQ72" s="254"/>
      <c r="ARR72" s="254"/>
      <c r="ARS72" s="254"/>
      <c r="ART72" s="254"/>
      <c r="ARU72" s="254"/>
      <c r="ARV72" s="254"/>
      <c r="ARW72" s="254"/>
      <c r="ARX72" s="254"/>
      <c r="ARY72" s="254"/>
      <c r="ARZ72" s="254"/>
      <c r="ASA72" s="254"/>
      <c r="ASB72" s="254"/>
      <c r="ASC72" s="254"/>
      <c r="ASD72" s="254"/>
      <c r="ASE72" s="254"/>
      <c r="ASF72" s="254"/>
      <c r="ASG72" s="254"/>
      <c r="ASH72" s="254"/>
      <c r="ASI72" s="254"/>
      <c r="ASJ72" s="254"/>
      <c r="ASK72" s="254"/>
      <c r="ASL72" s="254"/>
      <c r="ASM72" s="254"/>
      <c r="ASN72" s="254"/>
      <c r="ASO72" s="254"/>
      <c r="ASP72" s="254"/>
      <c r="ASQ72" s="254"/>
      <c r="ASR72" s="254"/>
      <c r="ASS72" s="254"/>
      <c r="AST72" s="254"/>
      <c r="ASU72" s="254"/>
      <c r="ASV72" s="254"/>
      <c r="ASW72" s="254"/>
      <c r="ASX72" s="254"/>
      <c r="ASY72" s="254"/>
      <c r="ASZ72" s="254"/>
      <c r="ATA72" s="254"/>
      <c r="ATB72" s="254"/>
      <c r="ATC72" s="254"/>
      <c r="ATD72" s="254"/>
      <c r="ATE72" s="254"/>
      <c r="ATF72" s="254"/>
      <c r="ATG72" s="254"/>
      <c r="ATH72" s="254"/>
      <c r="ATI72" s="254"/>
      <c r="ATJ72" s="254"/>
      <c r="ATK72" s="254"/>
      <c r="ATL72" s="254"/>
      <c r="ATM72" s="254"/>
      <c r="ATN72" s="254"/>
      <c r="ATO72" s="254"/>
      <c r="ATP72" s="254"/>
      <c r="ATQ72" s="254"/>
      <c r="ATR72" s="254"/>
      <c r="ATS72" s="254"/>
      <c r="ATT72" s="254"/>
      <c r="ATU72" s="254"/>
      <c r="ATV72" s="254"/>
      <c r="ATW72" s="254"/>
      <c r="ATX72" s="254"/>
      <c r="ATY72" s="254"/>
      <c r="ATZ72" s="254"/>
      <c r="AUA72" s="254"/>
      <c r="AUB72" s="254"/>
      <c r="AUC72" s="254"/>
      <c r="AUD72" s="254"/>
      <c r="AUE72" s="254"/>
      <c r="AUF72" s="254"/>
      <c r="AUG72" s="254"/>
      <c r="AUH72" s="254"/>
      <c r="AUI72" s="254"/>
      <c r="AUJ72" s="254"/>
      <c r="AUK72" s="254"/>
      <c r="AUL72" s="254"/>
      <c r="AUM72" s="254"/>
      <c r="AUN72" s="254"/>
      <c r="AUO72" s="254"/>
      <c r="AUP72" s="254"/>
      <c r="AUQ72" s="254"/>
      <c r="AUR72" s="254"/>
      <c r="AUS72" s="254"/>
      <c r="AUT72" s="254"/>
      <c r="AUU72" s="254"/>
      <c r="AUV72" s="254"/>
      <c r="AUW72" s="254"/>
      <c r="AUX72" s="254"/>
      <c r="AUY72" s="254"/>
      <c r="AUZ72" s="254"/>
      <c r="AVA72" s="254"/>
      <c r="AVB72" s="254"/>
      <c r="AVC72" s="254"/>
      <c r="AVD72" s="254"/>
      <c r="AVE72" s="254"/>
      <c r="AVF72" s="254"/>
      <c r="AVG72" s="254"/>
      <c r="AVH72" s="254"/>
      <c r="AVI72" s="254"/>
      <c r="AVJ72" s="254"/>
      <c r="AVK72" s="254"/>
      <c r="AVL72" s="254"/>
      <c r="AVM72" s="254"/>
      <c r="AVN72" s="254"/>
      <c r="AVO72" s="254"/>
      <c r="AVP72" s="254"/>
      <c r="AVQ72" s="254"/>
      <c r="AVR72" s="254"/>
      <c r="AVS72" s="254"/>
      <c r="AVT72" s="254"/>
      <c r="AVU72" s="254"/>
      <c r="AVV72" s="254"/>
      <c r="AVW72" s="254"/>
      <c r="AVX72" s="254"/>
      <c r="AVY72" s="254"/>
      <c r="AVZ72" s="254"/>
      <c r="AWA72" s="254"/>
      <c r="AWB72" s="254"/>
      <c r="AWC72" s="254"/>
      <c r="AWD72" s="254"/>
      <c r="AWE72" s="254"/>
      <c r="AWF72" s="254"/>
      <c r="AWG72" s="254"/>
      <c r="AWH72" s="254"/>
      <c r="AWI72" s="254"/>
      <c r="AWJ72" s="254"/>
      <c r="AWK72" s="254"/>
      <c r="AWL72" s="254"/>
      <c r="AWM72" s="254"/>
      <c r="AWN72" s="254"/>
      <c r="AWO72" s="254"/>
      <c r="AWP72" s="254"/>
      <c r="AWQ72" s="254"/>
      <c r="AWR72" s="254"/>
      <c r="AWS72" s="254"/>
      <c r="AWT72" s="254"/>
      <c r="AWU72" s="254"/>
      <c r="AWV72" s="254"/>
      <c r="AWW72" s="254"/>
      <c r="AWX72" s="254"/>
      <c r="AWY72" s="254"/>
      <c r="AWZ72" s="254"/>
      <c r="AXA72" s="254"/>
      <c r="AXB72" s="254"/>
      <c r="AXC72" s="254"/>
      <c r="AXD72" s="254"/>
      <c r="AXE72" s="254"/>
      <c r="AXF72" s="254"/>
      <c r="AXG72" s="254"/>
      <c r="AXH72" s="254"/>
      <c r="AXI72" s="254"/>
      <c r="AXJ72" s="254"/>
      <c r="AXK72" s="254"/>
      <c r="AXL72" s="254"/>
      <c r="AXM72" s="254"/>
      <c r="AXN72" s="254"/>
      <c r="AXO72" s="254"/>
      <c r="AXP72" s="254"/>
      <c r="AXQ72" s="254"/>
      <c r="AXR72" s="254"/>
      <c r="AXS72" s="254"/>
      <c r="AXT72" s="254"/>
      <c r="AXU72" s="254"/>
      <c r="AXV72" s="254"/>
      <c r="AXW72" s="254"/>
      <c r="AXX72" s="254"/>
      <c r="AXY72" s="254"/>
      <c r="AXZ72" s="254"/>
      <c r="AYA72" s="254"/>
      <c r="AYB72" s="254"/>
      <c r="AYC72" s="254"/>
      <c r="AYD72" s="254"/>
      <c r="AYE72" s="254"/>
      <c r="AYF72" s="254"/>
      <c r="AYG72" s="254"/>
      <c r="AYH72" s="254"/>
      <c r="AYI72" s="254"/>
      <c r="AYJ72" s="254"/>
      <c r="AYK72" s="254"/>
      <c r="AYL72" s="254"/>
      <c r="AYM72" s="254"/>
      <c r="AYN72" s="254"/>
      <c r="AYO72" s="254"/>
      <c r="AYP72" s="254"/>
      <c r="AYQ72" s="254"/>
      <c r="AYR72" s="254"/>
      <c r="AYS72" s="254"/>
      <c r="AYT72" s="254"/>
      <c r="AYU72" s="254"/>
      <c r="AYV72" s="254"/>
      <c r="AYW72" s="254"/>
      <c r="AYX72" s="254"/>
      <c r="AYY72" s="254"/>
      <c r="AYZ72" s="254"/>
      <c r="AZA72" s="254"/>
      <c r="AZB72" s="254"/>
      <c r="AZC72" s="254"/>
      <c r="AZD72" s="254"/>
      <c r="AZE72" s="254"/>
      <c r="AZF72" s="254"/>
      <c r="AZG72" s="254"/>
      <c r="AZH72" s="254"/>
      <c r="AZI72" s="254"/>
      <c r="AZJ72" s="254"/>
      <c r="AZK72" s="254"/>
      <c r="AZL72" s="254"/>
      <c r="AZM72" s="254"/>
      <c r="AZN72" s="254"/>
      <c r="AZO72" s="254"/>
      <c r="AZP72" s="254"/>
      <c r="AZQ72" s="254"/>
      <c r="AZR72" s="254"/>
      <c r="AZS72" s="254"/>
      <c r="AZT72" s="254"/>
      <c r="AZU72" s="254"/>
      <c r="AZV72" s="254"/>
      <c r="AZW72" s="254"/>
      <c r="AZX72" s="254"/>
      <c r="AZY72" s="254"/>
      <c r="AZZ72" s="254"/>
      <c r="BAA72" s="254"/>
      <c r="BAB72" s="254"/>
      <c r="BAC72" s="254"/>
      <c r="BAD72" s="254"/>
      <c r="BAE72" s="254"/>
      <c r="BAF72" s="254"/>
      <c r="BAG72" s="254"/>
      <c r="BAH72" s="254"/>
      <c r="BAI72" s="254"/>
      <c r="BAJ72" s="254"/>
      <c r="BAK72" s="254"/>
      <c r="BAL72" s="254"/>
      <c r="BAM72" s="254"/>
      <c r="BAN72" s="254"/>
      <c r="BAO72" s="254"/>
      <c r="BAP72" s="254"/>
      <c r="BAQ72" s="254"/>
      <c r="BAR72" s="254"/>
      <c r="BAS72" s="254"/>
      <c r="BAT72" s="254"/>
      <c r="BAU72" s="254"/>
      <c r="BAV72" s="254"/>
      <c r="BAW72" s="254"/>
      <c r="BAX72" s="254"/>
      <c r="BAY72" s="254"/>
      <c r="BAZ72" s="254"/>
      <c r="BBA72" s="254"/>
      <c r="BBB72" s="254"/>
      <c r="BBC72" s="254"/>
      <c r="BBD72" s="254"/>
      <c r="BBE72" s="254"/>
      <c r="BBF72" s="254"/>
      <c r="BBG72" s="254"/>
      <c r="BBH72" s="254"/>
      <c r="BBI72" s="254"/>
      <c r="BBJ72" s="254"/>
      <c r="BBK72" s="254"/>
      <c r="BBL72" s="254"/>
      <c r="BBM72" s="254"/>
      <c r="BBN72" s="254"/>
      <c r="BBO72" s="254"/>
      <c r="BBP72" s="254"/>
      <c r="BBQ72" s="254"/>
      <c r="BBR72" s="254"/>
      <c r="BBS72" s="254"/>
      <c r="BBT72" s="254"/>
      <c r="BBU72" s="254"/>
      <c r="BBV72" s="254"/>
      <c r="BBW72" s="254"/>
      <c r="BBX72" s="254"/>
      <c r="BBY72" s="254"/>
      <c r="BBZ72" s="254"/>
      <c r="BCA72" s="254"/>
      <c r="BCB72" s="254"/>
      <c r="BCC72" s="254"/>
      <c r="BCD72" s="254"/>
      <c r="BCE72" s="254"/>
      <c r="BCF72" s="254"/>
      <c r="BCG72" s="254"/>
      <c r="BCH72" s="254"/>
      <c r="BCI72" s="254"/>
      <c r="BCJ72" s="254"/>
      <c r="BCK72" s="254"/>
      <c r="BCL72" s="254"/>
      <c r="BCM72" s="254"/>
      <c r="BCN72" s="254"/>
      <c r="BCO72" s="254"/>
      <c r="BCP72" s="254"/>
      <c r="BCQ72" s="254"/>
      <c r="BCR72" s="254"/>
      <c r="BCS72" s="254"/>
      <c r="BCT72" s="254"/>
      <c r="BCU72" s="254"/>
      <c r="BCV72" s="254"/>
      <c r="BCW72" s="254"/>
      <c r="BCX72" s="254"/>
      <c r="BCY72" s="254"/>
      <c r="BCZ72" s="254"/>
      <c r="BDA72" s="254"/>
      <c r="BDB72" s="254"/>
      <c r="BDC72" s="254"/>
      <c r="BDD72" s="254"/>
      <c r="BDE72" s="254"/>
      <c r="BDF72" s="254"/>
      <c r="BDG72" s="254"/>
      <c r="BDH72" s="254"/>
      <c r="BDI72" s="254"/>
      <c r="BDJ72" s="254"/>
      <c r="BDK72" s="254"/>
      <c r="BDL72" s="254"/>
      <c r="BDM72" s="254"/>
      <c r="BDN72" s="254"/>
      <c r="BDO72" s="254"/>
      <c r="BDP72" s="254"/>
      <c r="BDQ72" s="254"/>
      <c r="BDR72" s="254"/>
      <c r="BDS72" s="254"/>
      <c r="BDT72" s="254"/>
      <c r="BDU72" s="254"/>
      <c r="BDV72" s="254"/>
      <c r="BDW72" s="254"/>
      <c r="BDX72" s="254"/>
      <c r="BDY72" s="254"/>
      <c r="BDZ72" s="254"/>
      <c r="BEA72" s="254"/>
      <c r="BEB72" s="254"/>
      <c r="BEC72" s="254"/>
      <c r="BED72" s="254"/>
      <c r="BEE72" s="254"/>
      <c r="BEF72" s="254"/>
      <c r="BEG72" s="254"/>
      <c r="BEH72" s="254"/>
      <c r="BEI72" s="254"/>
      <c r="BEJ72" s="254"/>
      <c r="BEK72" s="254"/>
      <c r="BEL72" s="254"/>
      <c r="BEM72" s="254"/>
      <c r="BEN72" s="254"/>
      <c r="BEO72" s="254"/>
      <c r="BEP72" s="254"/>
      <c r="BEQ72" s="254"/>
      <c r="BER72" s="254"/>
      <c r="BES72" s="254"/>
      <c r="BET72" s="254"/>
      <c r="BEU72" s="254"/>
      <c r="BEV72" s="254"/>
      <c r="BEW72" s="254"/>
      <c r="BEX72" s="254"/>
      <c r="BEY72" s="254"/>
      <c r="BEZ72" s="254"/>
      <c r="BFA72" s="254"/>
      <c r="BFB72" s="254"/>
      <c r="BFC72" s="254"/>
      <c r="BFD72" s="254"/>
      <c r="BFE72" s="254"/>
      <c r="BFF72" s="254"/>
      <c r="BFG72" s="254"/>
      <c r="BFH72" s="254"/>
      <c r="BFI72" s="254"/>
      <c r="BFJ72" s="254"/>
      <c r="BFK72" s="254"/>
      <c r="BFL72" s="254"/>
      <c r="BFM72" s="254"/>
      <c r="BFN72" s="254"/>
      <c r="BFO72" s="254"/>
      <c r="BFP72" s="254"/>
      <c r="BFQ72" s="254"/>
      <c r="BFR72" s="254"/>
      <c r="BFS72" s="254"/>
      <c r="BFT72" s="254"/>
      <c r="BFU72" s="254"/>
      <c r="BFV72" s="254"/>
      <c r="BFW72" s="254"/>
      <c r="BFX72" s="254"/>
      <c r="BFY72" s="254"/>
      <c r="BFZ72" s="254"/>
      <c r="BGA72" s="254"/>
      <c r="BGB72" s="254"/>
      <c r="BGC72" s="254"/>
      <c r="BGD72" s="254"/>
      <c r="BGE72" s="254"/>
      <c r="BGF72" s="254"/>
      <c r="BGG72" s="254"/>
      <c r="BGH72" s="254"/>
      <c r="BGI72" s="254"/>
      <c r="BGJ72" s="254"/>
      <c r="BGK72" s="254"/>
      <c r="BGL72" s="254"/>
      <c r="BGM72" s="254"/>
      <c r="BGN72" s="254"/>
      <c r="BGO72" s="254"/>
      <c r="BGP72" s="254"/>
      <c r="BGQ72" s="254"/>
      <c r="BGR72" s="254"/>
      <c r="BGS72" s="254"/>
      <c r="BGT72" s="254"/>
      <c r="BGU72" s="254"/>
      <c r="BGV72" s="254"/>
      <c r="BGW72" s="254"/>
      <c r="BGX72" s="254"/>
      <c r="BGY72" s="254"/>
      <c r="BGZ72" s="254"/>
      <c r="BHA72" s="254"/>
      <c r="BHB72" s="254"/>
      <c r="BHC72" s="254"/>
      <c r="BHD72" s="254"/>
      <c r="BHE72" s="254"/>
      <c r="BHF72" s="254"/>
      <c r="BHG72" s="254"/>
      <c r="BHH72" s="254"/>
      <c r="BHI72" s="254"/>
      <c r="BHJ72" s="254"/>
      <c r="BHK72" s="254"/>
      <c r="BHL72" s="254"/>
      <c r="BHM72" s="254"/>
      <c r="BHN72" s="254"/>
      <c r="BHO72" s="254"/>
      <c r="BHP72" s="254"/>
      <c r="BHQ72" s="254"/>
      <c r="BHR72" s="254"/>
      <c r="BHS72" s="254"/>
      <c r="BHT72" s="254"/>
      <c r="BHU72" s="254"/>
      <c r="BHV72" s="254"/>
      <c r="BHW72" s="254"/>
      <c r="BHX72" s="254"/>
      <c r="BHY72" s="254"/>
      <c r="BHZ72" s="254"/>
      <c r="BIA72" s="254"/>
      <c r="BIB72" s="254"/>
      <c r="BIC72" s="254"/>
      <c r="BID72" s="254"/>
      <c r="BIE72" s="254"/>
      <c r="BIF72" s="254"/>
      <c r="BIG72" s="254"/>
      <c r="BIH72" s="254"/>
      <c r="BII72" s="254"/>
      <c r="BIJ72" s="254"/>
      <c r="BIK72" s="254"/>
      <c r="BIL72" s="254"/>
      <c r="BIM72" s="254"/>
      <c r="BIN72" s="254"/>
      <c r="BIO72" s="254"/>
      <c r="BIP72" s="254"/>
      <c r="BIQ72" s="254"/>
      <c r="BIR72" s="254"/>
      <c r="BIS72" s="254"/>
      <c r="BIT72" s="254"/>
      <c r="BIU72" s="254"/>
      <c r="BIV72" s="254"/>
      <c r="BIW72" s="254"/>
      <c r="BIX72" s="254"/>
      <c r="BIY72" s="254"/>
      <c r="BIZ72" s="254"/>
      <c r="BJA72" s="254"/>
      <c r="BJB72" s="254"/>
      <c r="BJC72" s="254"/>
      <c r="BJD72" s="254"/>
      <c r="BJE72" s="254"/>
      <c r="BJF72" s="254"/>
      <c r="BJG72" s="254"/>
      <c r="BJH72" s="254"/>
      <c r="BJI72" s="254"/>
      <c r="BJJ72" s="254"/>
      <c r="BJK72" s="254"/>
      <c r="BJL72" s="254"/>
      <c r="BJM72" s="254"/>
      <c r="BJN72" s="254"/>
      <c r="BJO72" s="254"/>
      <c r="BJP72" s="254"/>
      <c r="BJQ72" s="254"/>
      <c r="BJR72" s="254"/>
      <c r="BJS72" s="254"/>
      <c r="BJT72" s="254"/>
      <c r="BJU72" s="254"/>
      <c r="BJV72" s="254"/>
      <c r="BJW72" s="254"/>
      <c r="BJX72" s="254"/>
      <c r="BJY72" s="254"/>
      <c r="BJZ72" s="254"/>
      <c r="BKA72" s="254"/>
      <c r="BKB72" s="254"/>
      <c r="BKC72" s="254"/>
      <c r="BKD72" s="254"/>
      <c r="BKE72" s="254"/>
      <c r="BKF72" s="254"/>
      <c r="BKG72" s="254"/>
      <c r="BKH72" s="254"/>
      <c r="BKI72" s="254"/>
      <c r="BKJ72" s="254"/>
      <c r="BKK72" s="254"/>
      <c r="BKL72" s="254"/>
      <c r="BKM72" s="254"/>
      <c r="BKN72" s="254"/>
      <c r="BKO72" s="254"/>
      <c r="BKP72" s="254"/>
      <c r="BKQ72" s="254"/>
      <c r="BKR72" s="254"/>
      <c r="BKS72" s="254"/>
      <c r="BKT72" s="254"/>
      <c r="BKU72" s="254"/>
      <c r="BKV72" s="254"/>
      <c r="BKW72" s="254"/>
      <c r="BKX72" s="254"/>
      <c r="BKY72" s="254"/>
      <c r="BKZ72" s="254"/>
      <c r="BLA72" s="254"/>
      <c r="BLB72" s="254"/>
      <c r="BLC72" s="254"/>
      <c r="BLD72" s="254"/>
      <c r="BLE72" s="254"/>
      <c r="BLF72" s="254"/>
      <c r="BLG72" s="254"/>
      <c r="BLH72" s="254"/>
      <c r="BLI72" s="254"/>
      <c r="BLJ72" s="254"/>
      <c r="BLK72" s="254"/>
      <c r="BLL72" s="254"/>
      <c r="BLM72" s="254"/>
      <c r="BLN72" s="254"/>
      <c r="BLO72" s="254"/>
      <c r="BLP72" s="254"/>
      <c r="BLQ72" s="254"/>
      <c r="BLR72" s="254"/>
      <c r="BLS72" s="254"/>
      <c r="BLT72" s="254"/>
      <c r="BLU72" s="254"/>
      <c r="BLV72" s="254"/>
      <c r="BLW72" s="254"/>
      <c r="BLX72" s="254"/>
      <c r="BLY72" s="254"/>
      <c r="BLZ72" s="254"/>
      <c r="BMA72" s="254"/>
      <c r="BMB72" s="254"/>
      <c r="BMC72" s="254"/>
      <c r="BMD72" s="254"/>
      <c r="BME72" s="254"/>
      <c r="BMF72" s="254"/>
      <c r="BMG72" s="254"/>
      <c r="BMH72" s="254"/>
      <c r="BMI72" s="254"/>
      <c r="BMJ72" s="254"/>
      <c r="BMK72" s="254"/>
      <c r="BML72" s="254"/>
      <c r="BMM72" s="254"/>
      <c r="BMN72" s="254"/>
      <c r="BMO72" s="254"/>
      <c r="BMP72" s="254"/>
      <c r="BMQ72" s="254"/>
      <c r="BMR72" s="254"/>
      <c r="BMS72" s="254"/>
      <c r="BMT72" s="254"/>
      <c r="BMU72" s="254"/>
      <c r="BMV72" s="254"/>
      <c r="BMW72" s="254"/>
      <c r="BMX72" s="254"/>
      <c r="BMY72" s="254"/>
      <c r="BMZ72" s="254"/>
      <c r="BNA72" s="254"/>
      <c r="BNB72" s="254"/>
      <c r="BNC72" s="254"/>
      <c r="BND72" s="254"/>
      <c r="BNE72" s="254"/>
      <c r="BNF72" s="254"/>
      <c r="BNG72" s="254"/>
      <c r="BNH72" s="254"/>
      <c r="BNI72" s="254"/>
      <c r="BNJ72" s="254"/>
      <c r="BNK72" s="254"/>
      <c r="BNL72" s="254"/>
      <c r="BNM72" s="254"/>
      <c r="BNN72" s="254"/>
      <c r="BNO72" s="254"/>
      <c r="BNP72" s="254"/>
      <c r="BNQ72" s="254"/>
      <c r="BNR72" s="254"/>
      <c r="BNS72" s="254"/>
      <c r="BNT72" s="254"/>
      <c r="BNU72" s="254"/>
      <c r="BNV72" s="254"/>
    </row>
    <row r="73" spans="1:1738" x14ac:dyDescent="0.25">
      <c r="A73" s="710" t="s">
        <v>95</v>
      </c>
      <c r="B73" s="176"/>
      <c r="C73" s="177"/>
      <c r="D73" s="198"/>
      <c r="E73" s="194"/>
      <c r="F73" s="312"/>
      <c r="G73" s="288"/>
      <c r="H73" s="289"/>
      <c r="I73" s="470"/>
      <c r="J73" s="398"/>
      <c r="K73" s="399"/>
      <c r="L73" s="402"/>
      <c r="M73" s="247"/>
      <c r="N73" s="194"/>
      <c r="O73" s="194"/>
      <c r="P73" s="194"/>
      <c r="Q73" s="174"/>
      <c r="R73" s="17"/>
      <c r="S73" s="17"/>
      <c r="T73" s="17"/>
    </row>
    <row r="74" spans="1:1738" s="90" customFormat="1" x14ac:dyDescent="0.25">
      <c r="A74" s="115" t="s">
        <v>145</v>
      </c>
      <c r="B74" s="15" t="s">
        <v>5</v>
      </c>
      <c r="C74" s="72">
        <v>84</v>
      </c>
      <c r="D74" s="473">
        <v>1</v>
      </c>
      <c r="E74" s="306">
        <v>74</v>
      </c>
      <c r="F74" s="313">
        <v>0.10810810810810811</v>
      </c>
      <c r="G74" s="287">
        <v>0.33100000000000002</v>
      </c>
      <c r="H74" s="14">
        <v>0.8478</v>
      </c>
      <c r="I74" s="285">
        <v>5.3</v>
      </c>
      <c r="J74" s="64">
        <v>0.25</v>
      </c>
      <c r="K74" s="395">
        <v>0.63157894736842102</v>
      </c>
      <c r="L74" s="245">
        <v>22</v>
      </c>
      <c r="M74" s="248" t="s">
        <v>273</v>
      </c>
      <c r="N74" s="133"/>
      <c r="O74" s="133"/>
      <c r="P74" s="133"/>
      <c r="Q74" s="79"/>
      <c r="R74" s="17"/>
      <c r="S74" s="17"/>
      <c r="T74" s="17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  <c r="QU74" s="112"/>
      <c r="QV74" s="112"/>
      <c r="QW74" s="112"/>
      <c r="QX74" s="112"/>
      <c r="QY74" s="112"/>
      <c r="QZ74" s="112"/>
      <c r="RA74" s="112"/>
      <c r="RB74" s="112"/>
      <c r="RC74" s="112"/>
      <c r="RD74" s="112"/>
      <c r="RE74" s="112"/>
      <c r="RF74" s="112"/>
      <c r="RG74" s="112"/>
      <c r="RH74" s="112"/>
      <c r="RI74" s="112"/>
      <c r="RJ74" s="112"/>
      <c r="RK74" s="112"/>
      <c r="RL74" s="112"/>
      <c r="RM74" s="112"/>
      <c r="RN74" s="112"/>
      <c r="RO74" s="112"/>
      <c r="RP74" s="112"/>
      <c r="RQ74" s="112"/>
      <c r="RR74" s="112"/>
      <c r="RS74" s="112"/>
      <c r="RT74" s="112"/>
      <c r="RU74" s="112"/>
      <c r="RV74" s="112"/>
      <c r="RW74" s="112"/>
      <c r="RX74" s="112"/>
      <c r="RY74" s="112"/>
      <c r="RZ74" s="112"/>
      <c r="SA74" s="112"/>
      <c r="SB74" s="112"/>
      <c r="SC74" s="112"/>
      <c r="SD74" s="112"/>
      <c r="SE74" s="112"/>
      <c r="SF74" s="112"/>
      <c r="SG74" s="112"/>
      <c r="SH74" s="112"/>
      <c r="SI74" s="112"/>
      <c r="SJ74" s="112"/>
      <c r="SK74" s="112"/>
      <c r="SL74" s="112"/>
      <c r="SM74" s="112"/>
      <c r="SN74" s="112"/>
      <c r="SO74" s="112"/>
      <c r="SP74" s="112"/>
      <c r="SQ74" s="112"/>
      <c r="SR74" s="112"/>
      <c r="SS74" s="112"/>
      <c r="ST74" s="112"/>
      <c r="SU74" s="112"/>
      <c r="SV74" s="112"/>
      <c r="SW74" s="112"/>
      <c r="SX74" s="112"/>
      <c r="SY74" s="112"/>
      <c r="SZ74" s="112"/>
      <c r="TA74" s="112"/>
      <c r="TB74" s="112"/>
      <c r="TC74" s="112"/>
      <c r="TD74" s="112"/>
      <c r="TE74" s="112"/>
      <c r="TF74" s="112"/>
      <c r="TG74" s="112"/>
      <c r="TH74" s="112"/>
      <c r="TI74" s="112"/>
      <c r="TJ74" s="112"/>
      <c r="TK74" s="112"/>
      <c r="TL74" s="112"/>
      <c r="TM74" s="112"/>
      <c r="TN74" s="112"/>
      <c r="TO74" s="112"/>
      <c r="TP74" s="112"/>
      <c r="TQ74" s="112"/>
      <c r="TR74" s="112"/>
      <c r="TS74" s="112"/>
      <c r="TT74" s="112"/>
      <c r="TU74" s="112"/>
      <c r="TV74" s="112"/>
      <c r="TW74" s="112"/>
      <c r="TX74" s="112"/>
      <c r="TY74" s="112"/>
      <c r="TZ74" s="112"/>
      <c r="UA74" s="112"/>
      <c r="UB74" s="112"/>
      <c r="UC74" s="112"/>
      <c r="UD74" s="112"/>
      <c r="UE74" s="112"/>
      <c r="UF74" s="112"/>
      <c r="UG74" s="112"/>
      <c r="UH74" s="112"/>
      <c r="UI74" s="112"/>
      <c r="UJ74" s="112"/>
      <c r="UK74" s="112"/>
      <c r="UL74" s="112"/>
      <c r="UM74" s="112"/>
      <c r="UN74" s="112"/>
      <c r="UO74" s="112"/>
      <c r="UP74" s="112"/>
      <c r="UQ74" s="112"/>
      <c r="UR74" s="112"/>
      <c r="US74" s="112"/>
      <c r="UT74" s="112"/>
      <c r="UU74" s="112"/>
      <c r="UV74" s="112"/>
      <c r="UW74" s="112"/>
      <c r="UX74" s="112"/>
      <c r="UY74" s="112"/>
      <c r="UZ74" s="112"/>
      <c r="VA74" s="112"/>
      <c r="VB74" s="112"/>
      <c r="VC74" s="112"/>
      <c r="VD74" s="112"/>
      <c r="VE74" s="112"/>
      <c r="VF74" s="112"/>
      <c r="VG74" s="112"/>
      <c r="VH74" s="112"/>
      <c r="VI74" s="112"/>
      <c r="VJ74" s="112"/>
      <c r="VK74" s="112"/>
      <c r="VL74" s="112"/>
      <c r="VM74" s="112"/>
      <c r="VN74" s="112"/>
      <c r="VO74" s="112"/>
      <c r="VP74" s="112"/>
      <c r="VQ74" s="112"/>
      <c r="VR74" s="112"/>
      <c r="VS74" s="112"/>
      <c r="VT74" s="112"/>
      <c r="VU74" s="112"/>
      <c r="VV74" s="112"/>
      <c r="VW74" s="112"/>
      <c r="VX74" s="112"/>
      <c r="VY74" s="112"/>
      <c r="VZ74" s="112"/>
      <c r="WA74" s="112"/>
      <c r="WB74" s="112"/>
      <c r="WC74" s="112"/>
      <c r="WD74" s="112"/>
      <c r="WE74" s="112"/>
      <c r="WF74" s="112"/>
      <c r="WG74" s="112"/>
      <c r="WH74" s="112"/>
      <c r="WI74" s="112"/>
      <c r="WJ74" s="112"/>
      <c r="WK74" s="112"/>
      <c r="WL74" s="112"/>
      <c r="WM74" s="112"/>
      <c r="WN74" s="112"/>
      <c r="WO74" s="112"/>
      <c r="WP74" s="112"/>
      <c r="WQ74" s="112"/>
      <c r="WR74" s="112"/>
      <c r="WS74" s="112"/>
      <c r="WT74" s="112"/>
      <c r="WU74" s="112"/>
      <c r="WV74" s="112"/>
      <c r="WW74" s="112"/>
      <c r="WX74" s="112"/>
      <c r="WY74" s="112"/>
      <c r="WZ74" s="112"/>
      <c r="XA74" s="112"/>
      <c r="XB74" s="112"/>
      <c r="XC74" s="112"/>
      <c r="XD74" s="112"/>
      <c r="XE74" s="112"/>
      <c r="XF74" s="112"/>
      <c r="XG74" s="112"/>
      <c r="XH74" s="112"/>
      <c r="XI74" s="112"/>
      <c r="XJ74" s="112"/>
      <c r="XK74" s="112"/>
      <c r="XL74" s="112"/>
      <c r="XM74" s="112"/>
      <c r="XN74" s="112"/>
      <c r="XO74" s="112"/>
      <c r="XP74" s="112"/>
      <c r="XQ74" s="112"/>
      <c r="XR74" s="112"/>
      <c r="XS74" s="112"/>
      <c r="XT74" s="112"/>
      <c r="XU74" s="112"/>
      <c r="XV74" s="112"/>
      <c r="XW74" s="112"/>
      <c r="XX74" s="112"/>
      <c r="XY74" s="112"/>
      <c r="XZ74" s="112"/>
      <c r="YA74" s="112"/>
      <c r="YB74" s="112"/>
      <c r="YC74" s="112"/>
      <c r="YD74" s="112"/>
      <c r="YE74" s="112"/>
      <c r="YF74" s="112"/>
      <c r="YG74" s="112"/>
      <c r="YH74" s="112"/>
      <c r="YI74" s="112"/>
      <c r="YJ74" s="112"/>
      <c r="YK74" s="112"/>
      <c r="YL74" s="112"/>
      <c r="YM74" s="112"/>
      <c r="YN74" s="112"/>
      <c r="YO74" s="112"/>
      <c r="YP74" s="112"/>
      <c r="YQ74" s="112"/>
      <c r="YR74" s="112"/>
      <c r="YS74" s="112"/>
      <c r="YT74" s="112"/>
      <c r="YU74" s="112"/>
      <c r="YV74" s="112"/>
      <c r="YW74" s="112"/>
      <c r="YX74" s="112"/>
      <c r="YY74" s="112"/>
      <c r="YZ74" s="112"/>
      <c r="ZA74" s="112"/>
      <c r="ZB74" s="112"/>
      <c r="ZC74" s="112"/>
      <c r="ZD74" s="112"/>
      <c r="ZE74" s="112"/>
      <c r="ZF74" s="112"/>
      <c r="ZG74" s="112"/>
      <c r="ZH74" s="112"/>
      <c r="ZI74" s="112"/>
      <c r="ZJ74" s="112"/>
      <c r="ZK74" s="112"/>
      <c r="ZL74" s="112"/>
      <c r="ZM74" s="112"/>
      <c r="ZN74" s="112"/>
      <c r="ZO74" s="112"/>
      <c r="ZP74" s="112"/>
      <c r="ZQ74" s="112"/>
      <c r="ZR74" s="112"/>
      <c r="ZS74" s="112"/>
      <c r="ZT74" s="112"/>
      <c r="ZU74" s="112"/>
      <c r="ZV74" s="112"/>
      <c r="ZW74" s="112"/>
      <c r="ZX74" s="112"/>
      <c r="ZY74" s="112"/>
      <c r="ZZ74" s="112"/>
      <c r="AAA74" s="112"/>
      <c r="AAB74" s="112"/>
      <c r="AAC74" s="112"/>
      <c r="AAD74" s="112"/>
      <c r="AAE74" s="112"/>
      <c r="AAF74" s="112"/>
      <c r="AAG74" s="112"/>
      <c r="AAH74" s="112"/>
      <c r="AAI74" s="112"/>
      <c r="AAJ74" s="112"/>
      <c r="AAK74" s="112"/>
      <c r="AAL74" s="112"/>
      <c r="AAM74" s="112"/>
      <c r="AAN74" s="112"/>
      <c r="AAO74" s="112"/>
      <c r="AAP74" s="112"/>
      <c r="AAQ74" s="112"/>
      <c r="AAR74" s="112"/>
      <c r="AAS74" s="112"/>
      <c r="AAT74" s="112"/>
      <c r="AAU74" s="112"/>
      <c r="AAV74" s="112"/>
      <c r="AAW74" s="112"/>
      <c r="AAX74" s="112"/>
      <c r="AAY74" s="112"/>
      <c r="AAZ74" s="112"/>
      <c r="ABA74" s="112"/>
      <c r="ABB74" s="112"/>
      <c r="ABC74" s="112"/>
      <c r="ABD74" s="112"/>
      <c r="ABE74" s="112"/>
      <c r="ABF74" s="112"/>
      <c r="ABG74" s="112"/>
      <c r="ABH74" s="112"/>
      <c r="ABI74" s="112"/>
      <c r="ABJ74" s="112"/>
      <c r="ABK74" s="112"/>
      <c r="ABL74" s="112"/>
      <c r="ABM74" s="112"/>
      <c r="ABN74" s="112"/>
      <c r="ABO74" s="112"/>
      <c r="ABP74" s="112"/>
      <c r="ABQ74" s="112"/>
      <c r="ABR74" s="112"/>
      <c r="ABS74" s="112"/>
      <c r="ABT74" s="112"/>
      <c r="ABU74" s="112"/>
      <c r="ABV74" s="112"/>
      <c r="ABW74" s="112"/>
      <c r="ABX74" s="112"/>
      <c r="ABY74" s="112"/>
      <c r="ABZ74" s="112"/>
      <c r="ACA74" s="112"/>
      <c r="ACB74" s="112"/>
      <c r="ACC74" s="112"/>
      <c r="ACD74" s="112"/>
      <c r="ACE74" s="112"/>
      <c r="ACF74" s="112"/>
      <c r="ACG74" s="112"/>
      <c r="ACH74" s="112"/>
      <c r="ACI74" s="112"/>
      <c r="ACJ74" s="112"/>
      <c r="ACK74" s="112"/>
      <c r="ACL74" s="112"/>
      <c r="ACM74" s="112"/>
      <c r="ACN74" s="112"/>
      <c r="ACO74" s="112"/>
      <c r="ACP74" s="112"/>
      <c r="ACQ74" s="112"/>
      <c r="ACR74" s="112"/>
      <c r="ACS74" s="112"/>
      <c r="ACT74" s="112"/>
      <c r="ACU74" s="112"/>
      <c r="ACV74" s="112"/>
      <c r="ACW74" s="112"/>
      <c r="ACX74" s="112"/>
      <c r="ACY74" s="112"/>
      <c r="ACZ74" s="112"/>
      <c r="ADA74" s="112"/>
      <c r="ADB74" s="112"/>
      <c r="ADC74" s="112"/>
      <c r="ADD74" s="112"/>
      <c r="ADE74" s="112"/>
      <c r="ADF74" s="112"/>
      <c r="ADG74" s="112"/>
      <c r="ADH74" s="112"/>
      <c r="ADI74" s="112"/>
      <c r="ADJ74" s="112"/>
      <c r="ADK74" s="112"/>
      <c r="ADL74" s="112"/>
      <c r="ADM74" s="112"/>
      <c r="ADN74" s="112"/>
      <c r="ADO74" s="112"/>
      <c r="ADP74" s="112"/>
      <c r="ADQ74" s="112"/>
      <c r="ADR74" s="112"/>
      <c r="ADS74" s="112"/>
      <c r="ADT74" s="112"/>
      <c r="ADU74" s="112"/>
      <c r="ADV74" s="112"/>
      <c r="ADW74" s="112"/>
      <c r="ADX74" s="112"/>
      <c r="ADY74" s="112"/>
      <c r="ADZ74" s="112"/>
      <c r="AEA74" s="112"/>
      <c r="AEB74" s="112"/>
      <c r="AEC74" s="112"/>
      <c r="AED74" s="112"/>
      <c r="AEE74" s="112"/>
      <c r="AEF74" s="112"/>
      <c r="AEG74" s="112"/>
      <c r="AEH74" s="112"/>
      <c r="AEI74" s="112"/>
      <c r="AEJ74" s="112"/>
      <c r="AEK74" s="112"/>
      <c r="AEL74" s="112"/>
      <c r="AEM74" s="112"/>
      <c r="AEN74" s="112"/>
      <c r="AEO74" s="112"/>
      <c r="AEP74" s="112"/>
      <c r="AEQ74" s="112"/>
      <c r="AER74" s="112"/>
      <c r="AES74" s="112"/>
      <c r="AET74" s="112"/>
      <c r="AEU74" s="112"/>
      <c r="AEV74" s="112"/>
      <c r="AEW74" s="112"/>
      <c r="AEX74" s="112"/>
      <c r="AEY74" s="112"/>
      <c r="AEZ74" s="112"/>
      <c r="AFA74" s="112"/>
      <c r="AFB74" s="112"/>
      <c r="AFC74" s="112"/>
      <c r="AFD74" s="112"/>
      <c r="AFE74" s="112"/>
      <c r="AFF74" s="112"/>
      <c r="AFG74" s="112"/>
      <c r="AFH74" s="112"/>
      <c r="AFI74" s="112"/>
      <c r="AFJ74" s="112"/>
      <c r="AFK74" s="112"/>
      <c r="AFL74" s="112"/>
      <c r="AFM74" s="112"/>
      <c r="AFN74" s="112"/>
      <c r="AFO74" s="112"/>
      <c r="AFP74" s="112"/>
      <c r="AFQ74" s="112"/>
      <c r="AFR74" s="112"/>
      <c r="AFS74" s="112"/>
      <c r="AFT74" s="112"/>
      <c r="AFU74" s="112"/>
      <c r="AFV74" s="112"/>
      <c r="AFW74" s="112"/>
      <c r="AFX74" s="112"/>
      <c r="AFY74" s="112"/>
      <c r="AFZ74" s="112"/>
      <c r="AGA74" s="112"/>
      <c r="AGB74" s="112"/>
      <c r="AGC74" s="112"/>
      <c r="AGD74" s="112"/>
      <c r="AGE74" s="112"/>
      <c r="AGF74" s="112"/>
      <c r="AGG74" s="112"/>
      <c r="AGH74" s="112"/>
      <c r="AGI74" s="112"/>
      <c r="AGJ74" s="112"/>
      <c r="AGK74" s="112"/>
      <c r="AGL74" s="112"/>
      <c r="AGM74" s="112"/>
      <c r="AGN74" s="112"/>
      <c r="AGO74" s="112"/>
      <c r="AGP74" s="112"/>
      <c r="AGQ74" s="112"/>
      <c r="AGR74" s="112"/>
      <c r="AGS74" s="112"/>
      <c r="AGT74" s="112"/>
      <c r="AGU74" s="112"/>
      <c r="AGV74" s="112"/>
      <c r="AGW74" s="112"/>
      <c r="AGX74" s="112"/>
      <c r="AGY74" s="112"/>
      <c r="AGZ74" s="112"/>
      <c r="AHA74" s="112"/>
      <c r="AHB74" s="112"/>
      <c r="AHC74" s="112"/>
      <c r="AHD74" s="112"/>
      <c r="AHE74" s="112"/>
      <c r="AHF74" s="112"/>
      <c r="AHG74" s="112"/>
      <c r="AHH74" s="112"/>
      <c r="AHI74" s="112"/>
      <c r="AHJ74" s="112"/>
      <c r="AHK74" s="112"/>
      <c r="AHL74" s="112"/>
      <c r="AHM74" s="112"/>
      <c r="AHN74" s="112"/>
      <c r="AHO74" s="112"/>
      <c r="AHP74" s="112"/>
      <c r="AHQ74" s="112"/>
      <c r="AHR74" s="112"/>
      <c r="AHS74" s="112"/>
      <c r="AHT74" s="112"/>
      <c r="AHU74" s="112"/>
      <c r="AHV74" s="112"/>
      <c r="AHW74" s="112"/>
      <c r="AHX74" s="112"/>
      <c r="AHY74" s="112"/>
      <c r="AHZ74" s="112"/>
      <c r="AIA74" s="112"/>
      <c r="AIB74" s="112"/>
      <c r="AIC74" s="112"/>
      <c r="AID74" s="112"/>
      <c r="AIE74" s="112"/>
      <c r="AIF74" s="112"/>
      <c r="AIG74" s="112"/>
      <c r="AIH74" s="112"/>
      <c r="AII74" s="112"/>
      <c r="AIJ74" s="112"/>
      <c r="AIK74" s="112"/>
      <c r="AIL74" s="112"/>
      <c r="AIM74" s="112"/>
      <c r="AIN74" s="112"/>
      <c r="AIO74" s="112"/>
      <c r="AIP74" s="112"/>
      <c r="AIQ74" s="112"/>
      <c r="AIR74" s="112"/>
      <c r="AIS74" s="112"/>
      <c r="AIT74" s="112"/>
      <c r="AIU74" s="112"/>
      <c r="AIV74" s="112"/>
      <c r="AIW74" s="112"/>
      <c r="AIX74" s="112"/>
      <c r="AIY74" s="112"/>
      <c r="AIZ74" s="112"/>
      <c r="AJA74" s="112"/>
      <c r="AJB74" s="112"/>
      <c r="AJC74" s="112"/>
      <c r="AJD74" s="112"/>
      <c r="AJE74" s="112"/>
      <c r="AJF74" s="112"/>
      <c r="AJG74" s="112"/>
      <c r="AJH74" s="112"/>
      <c r="AJI74" s="112"/>
      <c r="AJJ74" s="112"/>
      <c r="AJK74" s="112"/>
      <c r="AJL74" s="112"/>
      <c r="AJM74" s="112"/>
      <c r="AJN74" s="112"/>
      <c r="AJO74" s="112"/>
      <c r="AJP74" s="112"/>
      <c r="AJQ74" s="112"/>
      <c r="AJR74" s="112"/>
      <c r="AJS74" s="112"/>
      <c r="AJT74" s="112"/>
      <c r="AJU74" s="112"/>
      <c r="AJV74" s="112"/>
      <c r="AJW74" s="112"/>
      <c r="AJX74" s="112"/>
      <c r="AJY74" s="112"/>
      <c r="AJZ74" s="112"/>
      <c r="AKA74" s="112"/>
      <c r="AKB74" s="112"/>
      <c r="AKC74" s="112"/>
      <c r="AKD74" s="112"/>
      <c r="AKE74" s="112"/>
      <c r="AKF74" s="112"/>
      <c r="AKG74" s="112"/>
      <c r="AKH74" s="112"/>
      <c r="AKI74" s="112"/>
      <c r="AKJ74" s="112"/>
      <c r="AKK74" s="112"/>
      <c r="AKL74" s="112"/>
      <c r="AKM74" s="112"/>
      <c r="AKN74" s="112"/>
      <c r="AKO74" s="112"/>
      <c r="AKP74" s="112"/>
      <c r="AKQ74" s="112"/>
      <c r="AKR74" s="112"/>
      <c r="AKS74" s="112"/>
      <c r="AKT74" s="112"/>
      <c r="AKU74" s="112"/>
      <c r="AKV74" s="112"/>
      <c r="AKW74" s="112"/>
      <c r="AKX74" s="112"/>
      <c r="AKY74" s="112"/>
      <c r="AKZ74" s="112"/>
      <c r="ALA74" s="112"/>
      <c r="ALB74" s="112"/>
      <c r="ALC74" s="112"/>
      <c r="ALD74" s="112"/>
      <c r="ALE74" s="112"/>
      <c r="ALF74" s="112"/>
      <c r="ALG74" s="112"/>
      <c r="ALH74" s="112"/>
      <c r="ALI74" s="112"/>
      <c r="ALJ74" s="112"/>
      <c r="ALK74" s="112"/>
      <c r="ALL74" s="112"/>
      <c r="ALM74" s="112"/>
      <c r="ALN74" s="112"/>
      <c r="ALO74" s="112"/>
      <c r="ALP74" s="112"/>
      <c r="ALQ74" s="112"/>
      <c r="ALR74" s="112"/>
      <c r="ALS74" s="112"/>
      <c r="ALT74" s="112"/>
      <c r="ALU74" s="112"/>
      <c r="ALV74" s="112"/>
      <c r="ALW74" s="112"/>
      <c r="ALX74" s="112"/>
      <c r="ALY74" s="112"/>
      <c r="ALZ74" s="112"/>
      <c r="AMA74" s="112"/>
      <c r="AMB74" s="112"/>
      <c r="AMC74" s="112"/>
      <c r="AMD74" s="112"/>
      <c r="AME74" s="112"/>
      <c r="AMF74" s="112"/>
      <c r="AMG74" s="112"/>
      <c r="AMH74" s="112"/>
      <c r="AMI74" s="112"/>
      <c r="AMJ74" s="112"/>
      <c r="AMK74" s="112"/>
      <c r="AML74" s="112"/>
      <c r="AMM74" s="112"/>
      <c r="AMN74" s="112"/>
      <c r="AMO74" s="112"/>
      <c r="AMP74" s="112"/>
      <c r="AMQ74" s="112"/>
      <c r="AMR74" s="112"/>
      <c r="AMS74" s="112"/>
      <c r="AMT74" s="112"/>
      <c r="AMU74" s="112"/>
      <c r="AMV74" s="112"/>
      <c r="AMW74" s="112"/>
      <c r="AMX74" s="112"/>
      <c r="AMY74" s="112"/>
      <c r="AMZ74" s="112"/>
      <c r="ANA74" s="112"/>
      <c r="ANB74" s="112"/>
      <c r="ANC74" s="112"/>
      <c r="AND74" s="112"/>
      <c r="ANE74" s="112"/>
      <c r="ANF74" s="112"/>
      <c r="ANG74" s="112"/>
      <c r="ANH74" s="112"/>
      <c r="ANI74" s="112"/>
      <c r="ANJ74" s="112"/>
      <c r="ANK74" s="112"/>
      <c r="ANL74" s="112"/>
      <c r="ANM74" s="112"/>
      <c r="ANN74" s="112"/>
      <c r="ANO74" s="112"/>
      <c r="ANP74" s="112"/>
      <c r="ANQ74" s="112"/>
      <c r="ANR74" s="112"/>
      <c r="ANS74" s="112"/>
      <c r="ANT74" s="112"/>
      <c r="ANU74" s="112"/>
      <c r="ANV74" s="112"/>
      <c r="ANW74" s="112"/>
      <c r="ANX74" s="112"/>
      <c r="ANY74" s="112"/>
      <c r="ANZ74" s="112"/>
      <c r="AOA74" s="112"/>
      <c r="AOB74" s="112"/>
      <c r="AOC74" s="112"/>
      <c r="AOD74" s="112"/>
      <c r="AOE74" s="112"/>
      <c r="AOF74" s="112"/>
      <c r="AOG74" s="112"/>
      <c r="AOH74" s="112"/>
      <c r="AOI74" s="112"/>
      <c r="AOJ74" s="112"/>
      <c r="AOK74" s="112"/>
      <c r="AOL74" s="112"/>
      <c r="AOM74" s="112"/>
      <c r="AON74" s="112"/>
      <c r="AOO74" s="112"/>
      <c r="AOP74" s="112"/>
      <c r="AOQ74" s="112"/>
      <c r="AOR74" s="112"/>
      <c r="AOS74" s="112"/>
      <c r="AOT74" s="112"/>
      <c r="AOU74" s="112"/>
      <c r="AOV74" s="112"/>
      <c r="AOW74" s="112"/>
      <c r="AOX74" s="112"/>
      <c r="AOY74" s="112"/>
      <c r="AOZ74" s="112"/>
      <c r="APA74" s="112"/>
      <c r="APB74" s="112"/>
      <c r="APC74" s="112"/>
      <c r="APD74" s="112"/>
      <c r="APE74" s="112"/>
      <c r="APF74" s="112"/>
      <c r="APG74" s="112"/>
      <c r="APH74" s="112"/>
      <c r="API74" s="112"/>
      <c r="APJ74" s="112"/>
      <c r="APK74" s="112"/>
      <c r="APL74" s="112"/>
      <c r="APM74" s="112"/>
      <c r="APN74" s="112"/>
      <c r="APO74" s="112"/>
      <c r="APP74" s="112"/>
      <c r="APQ74" s="112"/>
      <c r="APR74" s="112"/>
      <c r="APS74" s="112"/>
      <c r="APT74" s="112"/>
      <c r="APU74" s="112"/>
      <c r="APV74" s="112"/>
      <c r="APW74" s="112"/>
      <c r="APX74" s="112"/>
      <c r="APY74" s="112"/>
      <c r="APZ74" s="112"/>
      <c r="AQA74" s="112"/>
      <c r="AQB74" s="112"/>
      <c r="AQC74" s="112"/>
      <c r="AQD74" s="112"/>
      <c r="AQE74" s="112"/>
      <c r="AQF74" s="112"/>
      <c r="AQG74" s="112"/>
      <c r="AQH74" s="112"/>
      <c r="AQI74" s="112"/>
      <c r="AQJ74" s="112"/>
      <c r="AQK74" s="112"/>
      <c r="AQL74" s="112"/>
      <c r="AQM74" s="112"/>
      <c r="AQN74" s="112"/>
      <c r="AQO74" s="112"/>
      <c r="AQP74" s="112"/>
      <c r="AQQ74" s="112"/>
      <c r="AQR74" s="112"/>
      <c r="AQS74" s="112"/>
      <c r="AQT74" s="112"/>
      <c r="AQU74" s="112"/>
      <c r="AQV74" s="112"/>
      <c r="AQW74" s="112"/>
      <c r="AQX74" s="112"/>
      <c r="AQY74" s="112"/>
      <c r="AQZ74" s="112"/>
      <c r="ARA74" s="112"/>
      <c r="ARB74" s="112"/>
      <c r="ARC74" s="112"/>
      <c r="ARD74" s="112"/>
      <c r="ARE74" s="112"/>
      <c r="ARF74" s="112"/>
      <c r="ARG74" s="112"/>
      <c r="ARH74" s="112"/>
      <c r="ARI74" s="112"/>
      <c r="ARJ74" s="112"/>
      <c r="ARK74" s="112"/>
      <c r="ARL74" s="112"/>
      <c r="ARM74" s="112"/>
      <c r="ARN74" s="112"/>
      <c r="ARO74" s="112"/>
      <c r="ARP74" s="112"/>
      <c r="ARQ74" s="112"/>
      <c r="ARR74" s="112"/>
      <c r="ARS74" s="112"/>
      <c r="ART74" s="112"/>
      <c r="ARU74" s="112"/>
      <c r="ARV74" s="112"/>
      <c r="ARW74" s="112"/>
      <c r="ARX74" s="112"/>
      <c r="ARY74" s="112"/>
      <c r="ARZ74" s="112"/>
      <c r="ASA74" s="112"/>
      <c r="ASB74" s="112"/>
      <c r="ASC74" s="112"/>
      <c r="ASD74" s="112"/>
      <c r="ASE74" s="112"/>
      <c r="ASF74" s="112"/>
      <c r="ASG74" s="112"/>
      <c r="ASH74" s="112"/>
      <c r="ASI74" s="112"/>
      <c r="ASJ74" s="112"/>
      <c r="ASK74" s="112"/>
      <c r="ASL74" s="112"/>
      <c r="ASM74" s="112"/>
      <c r="ASN74" s="112"/>
      <c r="ASO74" s="112"/>
      <c r="ASP74" s="112"/>
      <c r="ASQ74" s="112"/>
      <c r="ASR74" s="112"/>
      <c r="ASS74" s="112"/>
      <c r="AST74" s="112"/>
      <c r="ASU74" s="112"/>
      <c r="ASV74" s="112"/>
      <c r="ASW74" s="112"/>
      <c r="ASX74" s="112"/>
      <c r="ASY74" s="112"/>
      <c r="ASZ74" s="112"/>
      <c r="ATA74" s="112"/>
      <c r="ATB74" s="112"/>
      <c r="ATC74" s="112"/>
      <c r="ATD74" s="112"/>
      <c r="ATE74" s="112"/>
      <c r="ATF74" s="112"/>
      <c r="ATG74" s="112"/>
      <c r="ATH74" s="112"/>
      <c r="ATI74" s="112"/>
      <c r="ATJ74" s="112"/>
      <c r="ATK74" s="112"/>
      <c r="ATL74" s="112"/>
      <c r="ATM74" s="112"/>
      <c r="ATN74" s="112"/>
      <c r="ATO74" s="112"/>
      <c r="ATP74" s="112"/>
      <c r="ATQ74" s="112"/>
      <c r="ATR74" s="112"/>
      <c r="ATS74" s="112"/>
      <c r="ATT74" s="112"/>
      <c r="ATU74" s="112"/>
      <c r="ATV74" s="112"/>
      <c r="ATW74" s="112"/>
      <c r="ATX74" s="112"/>
      <c r="ATY74" s="112"/>
      <c r="ATZ74" s="112"/>
      <c r="AUA74" s="112"/>
      <c r="AUB74" s="112"/>
      <c r="AUC74" s="112"/>
      <c r="AUD74" s="112"/>
      <c r="AUE74" s="112"/>
      <c r="AUF74" s="112"/>
      <c r="AUG74" s="112"/>
      <c r="AUH74" s="112"/>
      <c r="AUI74" s="112"/>
      <c r="AUJ74" s="112"/>
      <c r="AUK74" s="112"/>
      <c r="AUL74" s="112"/>
      <c r="AUM74" s="112"/>
      <c r="AUN74" s="112"/>
      <c r="AUO74" s="112"/>
      <c r="AUP74" s="112"/>
      <c r="AUQ74" s="112"/>
      <c r="AUR74" s="112"/>
      <c r="AUS74" s="112"/>
      <c r="AUT74" s="112"/>
      <c r="AUU74" s="112"/>
      <c r="AUV74" s="112"/>
      <c r="AUW74" s="112"/>
      <c r="AUX74" s="112"/>
      <c r="AUY74" s="112"/>
      <c r="AUZ74" s="112"/>
      <c r="AVA74" s="112"/>
      <c r="AVB74" s="112"/>
      <c r="AVC74" s="112"/>
      <c r="AVD74" s="112"/>
      <c r="AVE74" s="112"/>
      <c r="AVF74" s="112"/>
      <c r="AVG74" s="112"/>
      <c r="AVH74" s="112"/>
      <c r="AVI74" s="112"/>
      <c r="AVJ74" s="112"/>
      <c r="AVK74" s="112"/>
      <c r="AVL74" s="112"/>
      <c r="AVM74" s="112"/>
      <c r="AVN74" s="112"/>
      <c r="AVO74" s="112"/>
      <c r="AVP74" s="112"/>
      <c r="AVQ74" s="112"/>
      <c r="AVR74" s="112"/>
      <c r="AVS74" s="112"/>
      <c r="AVT74" s="112"/>
      <c r="AVU74" s="112"/>
      <c r="AVV74" s="112"/>
      <c r="AVW74" s="112"/>
      <c r="AVX74" s="112"/>
      <c r="AVY74" s="112"/>
      <c r="AVZ74" s="112"/>
      <c r="AWA74" s="112"/>
      <c r="AWB74" s="112"/>
      <c r="AWC74" s="112"/>
      <c r="AWD74" s="112"/>
      <c r="AWE74" s="112"/>
      <c r="AWF74" s="112"/>
      <c r="AWG74" s="112"/>
      <c r="AWH74" s="112"/>
      <c r="AWI74" s="112"/>
      <c r="AWJ74" s="112"/>
      <c r="AWK74" s="112"/>
      <c r="AWL74" s="112"/>
      <c r="AWM74" s="112"/>
      <c r="AWN74" s="112"/>
      <c r="AWO74" s="112"/>
      <c r="AWP74" s="112"/>
      <c r="AWQ74" s="112"/>
      <c r="AWR74" s="112"/>
      <c r="AWS74" s="112"/>
      <c r="AWT74" s="112"/>
      <c r="AWU74" s="112"/>
      <c r="AWV74" s="112"/>
      <c r="AWW74" s="112"/>
      <c r="AWX74" s="112"/>
      <c r="AWY74" s="112"/>
      <c r="AWZ74" s="112"/>
      <c r="AXA74" s="112"/>
      <c r="AXB74" s="112"/>
      <c r="AXC74" s="112"/>
      <c r="AXD74" s="112"/>
      <c r="AXE74" s="112"/>
      <c r="AXF74" s="112"/>
      <c r="AXG74" s="112"/>
      <c r="AXH74" s="112"/>
      <c r="AXI74" s="112"/>
      <c r="AXJ74" s="112"/>
      <c r="AXK74" s="112"/>
      <c r="AXL74" s="112"/>
      <c r="AXM74" s="112"/>
      <c r="AXN74" s="112"/>
      <c r="AXO74" s="112"/>
      <c r="AXP74" s="112"/>
      <c r="AXQ74" s="112"/>
      <c r="AXR74" s="112"/>
      <c r="AXS74" s="112"/>
      <c r="AXT74" s="112"/>
      <c r="AXU74" s="112"/>
      <c r="AXV74" s="112"/>
      <c r="AXW74" s="112"/>
      <c r="AXX74" s="112"/>
      <c r="AXY74" s="112"/>
      <c r="AXZ74" s="112"/>
      <c r="AYA74" s="112"/>
      <c r="AYB74" s="112"/>
      <c r="AYC74" s="112"/>
      <c r="AYD74" s="112"/>
      <c r="AYE74" s="112"/>
      <c r="AYF74" s="112"/>
      <c r="AYG74" s="112"/>
      <c r="AYH74" s="112"/>
      <c r="AYI74" s="112"/>
      <c r="AYJ74" s="112"/>
      <c r="AYK74" s="112"/>
      <c r="AYL74" s="112"/>
      <c r="AYM74" s="112"/>
      <c r="AYN74" s="112"/>
      <c r="AYO74" s="112"/>
      <c r="AYP74" s="112"/>
      <c r="AYQ74" s="112"/>
      <c r="AYR74" s="112"/>
      <c r="AYS74" s="112"/>
      <c r="AYT74" s="112"/>
      <c r="AYU74" s="112"/>
      <c r="AYV74" s="112"/>
      <c r="AYW74" s="112"/>
      <c r="AYX74" s="112"/>
      <c r="AYY74" s="112"/>
      <c r="AYZ74" s="112"/>
      <c r="AZA74" s="112"/>
      <c r="AZB74" s="112"/>
      <c r="AZC74" s="112"/>
      <c r="AZD74" s="112"/>
      <c r="AZE74" s="112"/>
      <c r="AZF74" s="112"/>
      <c r="AZG74" s="112"/>
      <c r="AZH74" s="112"/>
      <c r="AZI74" s="112"/>
      <c r="AZJ74" s="112"/>
      <c r="AZK74" s="112"/>
      <c r="AZL74" s="112"/>
      <c r="AZM74" s="112"/>
      <c r="AZN74" s="112"/>
      <c r="AZO74" s="112"/>
      <c r="AZP74" s="112"/>
      <c r="AZQ74" s="112"/>
      <c r="AZR74" s="112"/>
      <c r="AZS74" s="112"/>
      <c r="AZT74" s="112"/>
      <c r="AZU74" s="112"/>
      <c r="AZV74" s="112"/>
      <c r="AZW74" s="112"/>
      <c r="AZX74" s="112"/>
      <c r="AZY74" s="112"/>
      <c r="AZZ74" s="112"/>
      <c r="BAA74" s="112"/>
      <c r="BAB74" s="112"/>
      <c r="BAC74" s="112"/>
      <c r="BAD74" s="112"/>
      <c r="BAE74" s="112"/>
      <c r="BAF74" s="112"/>
      <c r="BAG74" s="112"/>
      <c r="BAH74" s="112"/>
      <c r="BAI74" s="112"/>
      <c r="BAJ74" s="112"/>
      <c r="BAK74" s="112"/>
      <c r="BAL74" s="112"/>
      <c r="BAM74" s="112"/>
      <c r="BAN74" s="112"/>
      <c r="BAO74" s="112"/>
      <c r="BAP74" s="112"/>
      <c r="BAQ74" s="112"/>
      <c r="BAR74" s="112"/>
      <c r="BAS74" s="112"/>
      <c r="BAT74" s="112"/>
      <c r="BAU74" s="112"/>
      <c r="BAV74" s="112"/>
      <c r="BAW74" s="112"/>
      <c r="BAX74" s="112"/>
      <c r="BAY74" s="112"/>
      <c r="BAZ74" s="112"/>
      <c r="BBA74" s="112"/>
      <c r="BBB74" s="112"/>
      <c r="BBC74" s="112"/>
      <c r="BBD74" s="112"/>
      <c r="BBE74" s="112"/>
      <c r="BBF74" s="112"/>
      <c r="BBG74" s="112"/>
      <c r="BBH74" s="112"/>
      <c r="BBI74" s="112"/>
      <c r="BBJ74" s="112"/>
      <c r="BBK74" s="112"/>
      <c r="BBL74" s="112"/>
      <c r="BBM74" s="112"/>
      <c r="BBN74" s="112"/>
      <c r="BBO74" s="112"/>
      <c r="BBP74" s="112"/>
      <c r="BBQ74" s="112"/>
      <c r="BBR74" s="112"/>
      <c r="BBS74" s="112"/>
      <c r="BBT74" s="112"/>
      <c r="BBU74" s="112"/>
      <c r="BBV74" s="112"/>
      <c r="BBW74" s="112"/>
      <c r="BBX74" s="112"/>
      <c r="BBY74" s="112"/>
      <c r="BBZ74" s="112"/>
      <c r="BCA74" s="112"/>
      <c r="BCB74" s="112"/>
      <c r="BCC74" s="112"/>
      <c r="BCD74" s="112"/>
      <c r="BCE74" s="112"/>
      <c r="BCF74" s="112"/>
      <c r="BCG74" s="112"/>
      <c r="BCH74" s="112"/>
      <c r="BCI74" s="112"/>
      <c r="BCJ74" s="112"/>
      <c r="BCK74" s="112"/>
      <c r="BCL74" s="112"/>
      <c r="BCM74" s="112"/>
      <c r="BCN74" s="112"/>
      <c r="BCO74" s="112"/>
      <c r="BCP74" s="112"/>
      <c r="BCQ74" s="112"/>
      <c r="BCR74" s="112"/>
      <c r="BCS74" s="112"/>
      <c r="BCT74" s="112"/>
      <c r="BCU74" s="112"/>
      <c r="BCV74" s="112"/>
      <c r="BCW74" s="112"/>
      <c r="BCX74" s="112"/>
      <c r="BCY74" s="112"/>
      <c r="BCZ74" s="112"/>
      <c r="BDA74" s="112"/>
      <c r="BDB74" s="112"/>
      <c r="BDC74" s="112"/>
      <c r="BDD74" s="112"/>
      <c r="BDE74" s="112"/>
      <c r="BDF74" s="112"/>
      <c r="BDG74" s="112"/>
      <c r="BDH74" s="112"/>
      <c r="BDI74" s="112"/>
      <c r="BDJ74" s="112"/>
      <c r="BDK74" s="112"/>
      <c r="BDL74" s="112"/>
      <c r="BDM74" s="112"/>
      <c r="BDN74" s="112"/>
      <c r="BDO74" s="112"/>
      <c r="BDP74" s="112"/>
      <c r="BDQ74" s="112"/>
      <c r="BDR74" s="112"/>
      <c r="BDS74" s="112"/>
      <c r="BDT74" s="112"/>
      <c r="BDU74" s="112"/>
      <c r="BDV74" s="112"/>
      <c r="BDW74" s="112"/>
      <c r="BDX74" s="112"/>
      <c r="BDY74" s="112"/>
      <c r="BDZ74" s="112"/>
      <c r="BEA74" s="112"/>
      <c r="BEB74" s="112"/>
      <c r="BEC74" s="112"/>
      <c r="BED74" s="112"/>
      <c r="BEE74" s="112"/>
      <c r="BEF74" s="112"/>
      <c r="BEG74" s="112"/>
      <c r="BEH74" s="112"/>
      <c r="BEI74" s="112"/>
      <c r="BEJ74" s="112"/>
      <c r="BEK74" s="112"/>
      <c r="BEL74" s="112"/>
      <c r="BEM74" s="112"/>
      <c r="BEN74" s="112"/>
      <c r="BEO74" s="112"/>
      <c r="BEP74" s="112"/>
      <c r="BEQ74" s="112"/>
      <c r="BER74" s="112"/>
      <c r="BES74" s="112"/>
      <c r="BET74" s="112"/>
      <c r="BEU74" s="112"/>
      <c r="BEV74" s="112"/>
      <c r="BEW74" s="112"/>
      <c r="BEX74" s="112"/>
      <c r="BEY74" s="112"/>
      <c r="BEZ74" s="112"/>
      <c r="BFA74" s="112"/>
      <c r="BFB74" s="112"/>
      <c r="BFC74" s="112"/>
      <c r="BFD74" s="112"/>
      <c r="BFE74" s="112"/>
      <c r="BFF74" s="112"/>
      <c r="BFG74" s="112"/>
      <c r="BFH74" s="112"/>
      <c r="BFI74" s="112"/>
      <c r="BFJ74" s="112"/>
      <c r="BFK74" s="112"/>
      <c r="BFL74" s="112"/>
      <c r="BFM74" s="112"/>
      <c r="BFN74" s="112"/>
      <c r="BFO74" s="112"/>
      <c r="BFP74" s="112"/>
      <c r="BFQ74" s="112"/>
      <c r="BFR74" s="112"/>
      <c r="BFS74" s="112"/>
      <c r="BFT74" s="112"/>
      <c r="BFU74" s="112"/>
      <c r="BFV74" s="112"/>
      <c r="BFW74" s="112"/>
      <c r="BFX74" s="112"/>
      <c r="BFY74" s="112"/>
      <c r="BFZ74" s="112"/>
      <c r="BGA74" s="112"/>
      <c r="BGB74" s="112"/>
      <c r="BGC74" s="112"/>
      <c r="BGD74" s="112"/>
      <c r="BGE74" s="112"/>
      <c r="BGF74" s="112"/>
      <c r="BGG74" s="112"/>
      <c r="BGH74" s="112"/>
      <c r="BGI74" s="112"/>
      <c r="BGJ74" s="112"/>
      <c r="BGK74" s="112"/>
      <c r="BGL74" s="112"/>
      <c r="BGM74" s="112"/>
      <c r="BGN74" s="112"/>
      <c r="BGO74" s="112"/>
      <c r="BGP74" s="112"/>
      <c r="BGQ74" s="112"/>
      <c r="BGR74" s="112"/>
      <c r="BGS74" s="112"/>
      <c r="BGT74" s="112"/>
      <c r="BGU74" s="112"/>
      <c r="BGV74" s="112"/>
      <c r="BGW74" s="112"/>
      <c r="BGX74" s="112"/>
      <c r="BGY74" s="112"/>
      <c r="BGZ74" s="112"/>
      <c r="BHA74" s="112"/>
      <c r="BHB74" s="112"/>
      <c r="BHC74" s="112"/>
      <c r="BHD74" s="112"/>
      <c r="BHE74" s="112"/>
      <c r="BHF74" s="112"/>
      <c r="BHG74" s="112"/>
      <c r="BHH74" s="112"/>
      <c r="BHI74" s="112"/>
      <c r="BHJ74" s="112"/>
      <c r="BHK74" s="112"/>
      <c r="BHL74" s="112"/>
      <c r="BHM74" s="112"/>
      <c r="BHN74" s="112"/>
      <c r="BHO74" s="112"/>
      <c r="BHP74" s="112"/>
      <c r="BHQ74" s="112"/>
      <c r="BHR74" s="112"/>
      <c r="BHS74" s="112"/>
      <c r="BHT74" s="112"/>
      <c r="BHU74" s="112"/>
      <c r="BHV74" s="112"/>
      <c r="BHW74" s="112"/>
      <c r="BHX74" s="112"/>
      <c r="BHY74" s="112"/>
      <c r="BHZ74" s="112"/>
      <c r="BIA74" s="112"/>
      <c r="BIB74" s="112"/>
      <c r="BIC74" s="112"/>
      <c r="BID74" s="112"/>
      <c r="BIE74" s="112"/>
      <c r="BIF74" s="112"/>
      <c r="BIG74" s="112"/>
      <c r="BIH74" s="112"/>
      <c r="BII74" s="112"/>
      <c r="BIJ74" s="112"/>
      <c r="BIK74" s="112"/>
      <c r="BIL74" s="112"/>
      <c r="BIM74" s="112"/>
      <c r="BIN74" s="112"/>
      <c r="BIO74" s="112"/>
      <c r="BIP74" s="112"/>
      <c r="BIQ74" s="112"/>
      <c r="BIR74" s="112"/>
      <c r="BIS74" s="112"/>
      <c r="BIT74" s="112"/>
      <c r="BIU74" s="112"/>
      <c r="BIV74" s="112"/>
      <c r="BIW74" s="112"/>
      <c r="BIX74" s="112"/>
      <c r="BIY74" s="112"/>
      <c r="BIZ74" s="112"/>
      <c r="BJA74" s="112"/>
      <c r="BJB74" s="112"/>
      <c r="BJC74" s="112"/>
      <c r="BJD74" s="112"/>
      <c r="BJE74" s="112"/>
      <c r="BJF74" s="112"/>
      <c r="BJG74" s="112"/>
      <c r="BJH74" s="112"/>
      <c r="BJI74" s="112"/>
      <c r="BJJ74" s="112"/>
      <c r="BJK74" s="112"/>
      <c r="BJL74" s="112"/>
      <c r="BJM74" s="112"/>
      <c r="BJN74" s="112"/>
      <c r="BJO74" s="112"/>
      <c r="BJP74" s="112"/>
      <c r="BJQ74" s="112"/>
      <c r="BJR74" s="112"/>
      <c r="BJS74" s="112"/>
      <c r="BJT74" s="112"/>
      <c r="BJU74" s="112"/>
      <c r="BJV74" s="112"/>
      <c r="BJW74" s="112"/>
      <c r="BJX74" s="112"/>
      <c r="BJY74" s="112"/>
      <c r="BJZ74" s="112"/>
      <c r="BKA74" s="112"/>
      <c r="BKB74" s="112"/>
      <c r="BKC74" s="112"/>
      <c r="BKD74" s="112"/>
      <c r="BKE74" s="112"/>
      <c r="BKF74" s="112"/>
      <c r="BKG74" s="112"/>
      <c r="BKH74" s="112"/>
      <c r="BKI74" s="112"/>
      <c r="BKJ74" s="112"/>
      <c r="BKK74" s="112"/>
      <c r="BKL74" s="112"/>
      <c r="BKM74" s="112"/>
      <c r="BKN74" s="112"/>
      <c r="BKO74" s="112"/>
      <c r="BKP74" s="112"/>
      <c r="BKQ74" s="112"/>
      <c r="BKR74" s="112"/>
      <c r="BKS74" s="112"/>
      <c r="BKT74" s="112"/>
      <c r="BKU74" s="112"/>
      <c r="BKV74" s="112"/>
      <c r="BKW74" s="112"/>
      <c r="BKX74" s="112"/>
      <c r="BKY74" s="112"/>
      <c r="BKZ74" s="112"/>
      <c r="BLA74" s="112"/>
      <c r="BLB74" s="112"/>
      <c r="BLC74" s="112"/>
      <c r="BLD74" s="112"/>
      <c r="BLE74" s="112"/>
      <c r="BLF74" s="112"/>
      <c r="BLG74" s="112"/>
      <c r="BLH74" s="112"/>
      <c r="BLI74" s="112"/>
      <c r="BLJ74" s="112"/>
      <c r="BLK74" s="112"/>
      <c r="BLL74" s="112"/>
      <c r="BLM74" s="112"/>
      <c r="BLN74" s="112"/>
      <c r="BLO74" s="112"/>
      <c r="BLP74" s="112"/>
      <c r="BLQ74" s="112"/>
      <c r="BLR74" s="112"/>
      <c r="BLS74" s="112"/>
      <c r="BLT74" s="112"/>
      <c r="BLU74" s="112"/>
      <c r="BLV74" s="112"/>
      <c r="BLW74" s="112"/>
      <c r="BLX74" s="112"/>
      <c r="BLY74" s="112"/>
      <c r="BLZ74" s="112"/>
      <c r="BMA74" s="112"/>
      <c r="BMB74" s="112"/>
      <c r="BMC74" s="112"/>
      <c r="BMD74" s="112"/>
      <c r="BME74" s="112"/>
      <c r="BMF74" s="112"/>
      <c r="BMG74" s="112"/>
      <c r="BMH74" s="112"/>
      <c r="BMI74" s="112"/>
      <c r="BMJ74" s="112"/>
      <c r="BMK74" s="112"/>
      <c r="BML74" s="112"/>
      <c r="BMM74" s="112"/>
      <c r="BMN74" s="112"/>
      <c r="BMO74" s="112"/>
      <c r="BMP74" s="112"/>
      <c r="BMQ74" s="112"/>
      <c r="BMR74" s="112"/>
      <c r="BMS74" s="112"/>
      <c r="BMT74" s="112"/>
      <c r="BMU74" s="112"/>
      <c r="BMV74" s="112"/>
      <c r="BMW74" s="112"/>
      <c r="BMX74" s="112"/>
      <c r="BMY74" s="112"/>
      <c r="BMZ74" s="112"/>
      <c r="BNA74" s="112"/>
      <c r="BNB74" s="112"/>
      <c r="BNC74" s="112"/>
      <c r="BND74" s="112"/>
      <c r="BNE74" s="112"/>
      <c r="BNF74" s="112"/>
      <c r="BNG74" s="112"/>
      <c r="BNH74" s="112"/>
      <c r="BNI74" s="112"/>
      <c r="BNJ74" s="112"/>
      <c r="BNK74" s="112"/>
      <c r="BNL74" s="112"/>
      <c r="BNM74" s="112"/>
      <c r="BNN74" s="112"/>
      <c r="BNO74" s="112"/>
      <c r="BNP74" s="112"/>
      <c r="BNQ74" s="112"/>
      <c r="BNR74" s="112"/>
      <c r="BNS74" s="112"/>
      <c r="BNT74" s="112"/>
      <c r="BNU74" s="112"/>
      <c r="BNV74" s="112"/>
    </row>
    <row r="75" spans="1:1738" x14ac:dyDescent="0.25">
      <c r="A75" s="115" t="s">
        <v>7</v>
      </c>
      <c r="B75" s="116" t="s">
        <v>5</v>
      </c>
      <c r="C75" s="117">
        <v>112</v>
      </c>
      <c r="D75" s="249" t="s">
        <v>273</v>
      </c>
      <c r="E75" s="307">
        <v>27</v>
      </c>
      <c r="F75" s="298">
        <v>7.407407407407407E-2</v>
      </c>
      <c r="G75" s="290">
        <v>0.125</v>
      </c>
      <c r="H75" s="14">
        <v>0.82350000000000001</v>
      </c>
      <c r="I75" s="449">
        <v>4.9000000000000004</v>
      </c>
      <c r="J75" s="64">
        <v>0.33333333333333331</v>
      </c>
      <c r="K75" s="395">
        <v>0.66666666666666663</v>
      </c>
      <c r="L75" s="245">
        <v>2</v>
      </c>
      <c r="M75" s="248" t="s">
        <v>273</v>
      </c>
      <c r="N75" s="133"/>
      <c r="O75" s="133"/>
      <c r="P75" s="133"/>
      <c r="Q75" s="174"/>
      <c r="R75" s="17"/>
      <c r="S75" s="17"/>
      <c r="T75" s="17"/>
    </row>
    <row r="76" spans="1:1738" x14ac:dyDescent="0.25">
      <c r="A76" s="9" t="s">
        <v>69</v>
      </c>
      <c r="B76" s="15" t="s">
        <v>5</v>
      </c>
      <c r="C76" s="72">
        <v>474</v>
      </c>
      <c r="D76" s="249" t="s">
        <v>273</v>
      </c>
      <c r="E76" s="300">
        <v>12</v>
      </c>
      <c r="F76" s="298">
        <v>0.16666666666666666</v>
      </c>
      <c r="G76" s="287">
        <v>0.5</v>
      </c>
      <c r="H76" s="14">
        <v>0.9</v>
      </c>
      <c r="I76" s="285">
        <v>3.6</v>
      </c>
      <c r="J76" s="64">
        <v>0</v>
      </c>
      <c r="K76" s="395">
        <v>1</v>
      </c>
      <c r="L76" s="245">
        <v>4</v>
      </c>
      <c r="M76" s="248" t="s">
        <v>273</v>
      </c>
      <c r="N76" s="133"/>
      <c r="O76" s="133"/>
      <c r="P76" s="133"/>
      <c r="Q76" s="174"/>
      <c r="R76" s="17"/>
      <c r="S76" s="17"/>
      <c r="T76" s="17"/>
    </row>
    <row r="77" spans="1:1738" s="134" customFormat="1" x14ac:dyDescent="0.25">
      <c r="A77" s="27" t="s">
        <v>86</v>
      </c>
      <c r="B77" s="15" t="s">
        <v>5</v>
      </c>
      <c r="C77" s="72">
        <v>519</v>
      </c>
      <c r="D77" s="249" t="s">
        <v>273</v>
      </c>
      <c r="E77" s="300">
        <v>25</v>
      </c>
      <c r="F77" s="298">
        <v>0.08</v>
      </c>
      <c r="G77" s="287" t="s">
        <v>273</v>
      </c>
      <c r="H77" s="14" t="s">
        <v>273</v>
      </c>
      <c r="I77" s="285">
        <v>2.2999999999999998</v>
      </c>
      <c r="J77" s="64" t="s">
        <v>273</v>
      </c>
      <c r="K77" s="395" t="s">
        <v>273</v>
      </c>
      <c r="L77" s="245">
        <v>7</v>
      </c>
      <c r="M77" s="248" t="s">
        <v>273</v>
      </c>
      <c r="N77" s="133"/>
      <c r="O77" s="133"/>
      <c r="P77" s="133"/>
      <c r="Q77" s="174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  <c r="KY77" s="17"/>
      <c r="KZ77" s="17"/>
      <c r="LA77" s="17"/>
      <c r="LB77" s="17"/>
      <c r="LC77" s="17"/>
      <c r="LD77" s="17"/>
      <c r="LE77" s="17"/>
      <c r="LF77" s="17"/>
      <c r="LG77" s="17"/>
      <c r="LH77" s="17"/>
      <c r="LI77" s="17"/>
      <c r="LJ77" s="17"/>
      <c r="LK77" s="17"/>
      <c r="LL77" s="17"/>
      <c r="LM77" s="17"/>
      <c r="LN77" s="17"/>
      <c r="LO77" s="17"/>
      <c r="LP77" s="17"/>
      <c r="LQ77" s="17"/>
      <c r="LR77" s="17"/>
      <c r="LS77" s="17"/>
      <c r="LT77" s="17"/>
      <c r="LU77" s="17"/>
      <c r="LV77" s="17"/>
      <c r="LW77" s="17"/>
      <c r="LX77" s="17"/>
      <c r="LY77" s="17"/>
      <c r="LZ77" s="17"/>
      <c r="MA77" s="17"/>
      <c r="MB77" s="17"/>
      <c r="MC77" s="17"/>
      <c r="MD77" s="17"/>
      <c r="ME77" s="17"/>
      <c r="MF77" s="17"/>
      <c r="MG77" s="17"/>
      <c r="MH77" s="17"/>
      <c r="MI77" s="17"/>
      <c r="MJ77" s="17"/>
      <c r="MK77" s="17"/>
      <c r="ML77" s="17"/>
      <c r="MM77" s="17"/>
      <c r="MN77" s="17"/>
      <c r="MO77" s="17"/>
      <c r="MP77" s="17"/>
      <c r="MQ77" s="17"/>
      <c r="MR77" s="17"/>
      <c r="MS77" s="17"/>
      <c r="MT77" s="17"/>
      <c r="MU77" s="17"/>
      <c r="MV77" s="17"/>
      <c r="MW77" s="17"/>
      <c r="MX77" s="17"/>
      <c r="MY77" s="17"/>
      <c r="MZ77" s="17"/>
      <c r="NA77" s="17"/>
      <c r="NB77" s="17"/>
      <c r="NC77" s="17"/>
      <c r="ND77" s="17"/>
      <c r="NE77" s="17"/>
      <c r="NF77" s="17"/>
      <c r="NG77" s="17"/>
      <c r="NH77" s="17"/>
      <c r="NI77" s="17"/>
      <c r="NJ77" s="17"/>
      <c r="NK77" s="17"/>
      <c r="NL77" s="17"/>
      <c r="NM77" s="17"/>
      <c r="NN77" s="17"/>
      <c r="NO77" s="17"/>
      <c r="NP77" s="17"/>
      <c r="NQ77" s="17"/>
      <c r="NR77" s="17"/>
      <c r="NS77" s="17"/>
      <c r="NT77" s="17"/>
      <c r="NU77" s="17"/>
      <c r="NV77" s="17"/>
      <c r="NW77" s="17"/>
      <c r="NX77" s="17"/>
      <c r="NY77" s="17"/>
      <c r="NZ77" s="17"/>
      <c r="OA77" s="17"/>
      <c r="OB77" s="17"/>
      <c r="OC77" s="17"/>
      <c r="OD77" s="17"/>
      <c r="OE77" s="17"/>
      <c r="OF77" s="17"/>
      <c r="OG77" s="17"/>
      <c r="OH77" s="17"/>
      <c r="OI77" s="17"/>
      <c r="OJ77" s="17"/>
      <c r="OK77" s="17"/>
      <c r="OL77" s="17"/>
      <c r="OM77" s="17"/>
      <c r="ON77" s="17"/>
      <c r="OO77" s="17"/>
      <c r="OP77" s="17"/>
      <c r="OQ77" s="17"/>
      <c r="OR77" s="17"/>
      <c r="OS77" s="17"/>
      <c r="OT77" s="17"/>
      <c r="OU77" s="17"/>
      <c r="OV77" s="17"/>
      <c r="OW77" s="17"/>
      <c r="OX77" s="17"/>
      <c r="OY77" s="17"/>
      <c r="OZ77" s="17"/>
      <c r="PA77" s="17"/>
      <c r="PB77" s="17"/>
      <c r="PC77" s="17"/>
      <c r="PD77" s="17"/>
      <c r="PE77" s="17"/>
      <c r="PF77" s="17"/>
      <c r="PG77" s="17"/>
      <c r="PH77" s="17"/>
      <c r="PI77" s="17"/>
      <c r="PJ77" s="17"/>
      <c r="PK77" s="17"/>
      <c r="PL77" s="17"/>
      <c r="PM77" s="17"/>
      <c r="PN77" s="17"/>
      <c r="PO77" s="17"/>
      <c r="PP77" s="17"/>
      <c r="PQ77" s="17"/>
      <c r="PR77" s="17"/>
      <c r="PS77" s="17"/>
      <c r="PT77" s="17"/>
      <c r="PU77" s="17"/>
      <c r="PV77" s="17"/>
      <c r="PW77" s="17"/>
      <c r="PX77" s="17"/>
      <c r="PY77" s="17"/>
      <c r="PZ77" s="17"/>
      <c r="QA77" s="17"/>
      <c r="QB77" s="17"/>
      <c r="QC77" s="17"/>
      <c r="QD77" s="17"/>
      <c r="QE77" s="17"/>
      <c r="QF77" s="17"/>
      <c r="QG77" s="17"/>
      <c r="QH77" s="17"/>
      <c r="QI77" s="17"/>
      <c r="QJ77" s="17"/>
      <c r="QK77" s="17"/>
      <c r="QL77" s="17"/>
      <c r="QM77" s="17"/>
      <c r="QN77" s="17"/>
      <c r="QO77" s="17"/>
      <c r="QP77" s="17"/>
      <c r="QQ77" s="17"/>
      <c r="QR77" s="17"/>
      <c r="QS77" s="17"/>
      <c r="QT77" s="17"/>
      <c r="QU77" s="17"/>
      <c r="QV77" s="17"/>
      <c r="QW77" s="17"/>
      <c r="QX77" s="17"/>
      <c r="QY77" s="17"/>
      <c r="QZ77" s="17"/>
      <c r="RA77" s="17"/>
      <c r="RB77" s="17"/>
      <c r="RC77" s="17"/>
      <c r="RD77" s="17"/>
      <c r="RE77" s="17"/>
      <c r="RF77" s="17"/>
      <c r="RG77" s="17"/>
      <c r="RH77" s="17"/>
      <c r="RI77" s="17"/>
      <c r="RJ77" s="17"/>
      <c r="RK77" s="17"/>
      <c r="RL77" s="17"/>
      <c r="RM77" s="17"/>
      <c r="RN77" s="17"/>
      <c r="RO77" s="17"/>
      <c r="RP77" s="17"/>
      <c r="RQ77" s="17"/>
      <c r="RR77" s="17"/>
      <c r="RS77" s="17"/>
      <c r="RT77" s="17"/>
      <c r="RU77" s="17"/>
      <c r="RV77" s="17"/>
      <c r="RW77" s="17"/>
      <c r="RX77" s="17"/>
      <c r="RY77" s="17"/>
      <c r="RZ77" s="17"/>
      <c r="SA77" s="17"/>
      <c r="SB77" s="17"/>
      <c r="SC77" s="17"/>
      <c r="SD77" s="17"/>
      <c r="SE77" s="17"/>
      <c r="SF77" s="17"/>
      <c r="SG77" s="17"/>
      <c r="SH77" s="17"/>
      <c r="SI77" s="17"/>
      <c r="SJ77" s="17"/>
      <c r="SK77" s="17"/>
      <c r="SL77" s="17"/>
      <c r="SM77" s="17"/>
      <c r="SN77" s="17"/>
      <c r="SO77" s="17"/>
      <c r="SP77" s="17"/>
      <c r="SQ77" s="17"/>
      <c r="SR77" s="17"/>
      <c r="SS77" s="17"/>
      <c r="ST77" s="17"/>
      <c r="SU77" s="17"/>
      <c r="SV77" s="17"/>
      <c r="SW77" s="17"/>
      <c r="SX77" s="17"/>
      <c r="SY77" s="17"/>
      <c r="SZ77" s="17"/>
      <c r="TA77" s="17"/>
      <c r="TB77" s="17"/>
      <c r="TC77" s="17"/>
      <c r="TD77" s="17"/>
      <c r="TE77" s="17"/>
      <c r="TF77" s="17"/>
      <c r="TG77" s="17"/>
      <c r="TH77" s="17"/>
      <c r="TI77" s="17"/>
      <c r="TJ77" s="17"/>
      <c r="TK77" s="17"/>
      <c r="TL77" s="17"/>
      <c r="TM77" s="17"/>
      <c r="TN77" s="17"/>
      <c r="TO77" s="17"/>
      <c r="TP77" s="17"/>
      <c r="TQ77" s="17"/>
      <c r="TR77" s="17"/>
      <c r="TS77" s="17"/>
      <c r="TT77" s="17"/>
      <c r="TU77" s="17"/>
      <c r="TV77" s="17"/>
      <c r="TW77" s="17"/>
      <c r="TX77" s="17"/>
      <c r="TY77" s="17"/>
      <c r="TZ77" s="17"/>
      <c r="UA77" s="17"/>
      <c r="UB77" s="17"/>
      <c r="UC77" s="17"/>
      <c r="UD77" s="17"/>
      <c r="UE77" s="17"/>
      <c r="UF77" s="17"/>
      <c r="UG77" s="17"/>
      <c r="UH77" s="17"/>
      <c r="UI77" s="17"/>
      <c r="UJ77" s="17"/>
      <c r="UK77" s="17"/>
      <c r="UL77" s="17"/>
      <c r="UM77" s="17"/>
      <c r="UN77" s="17"/>
      <c r="UO77" s="17"/>
      <c r="UP77" s="17"/>
      <c r="UQ77" s="17"/>
      <c r="UR77" s="17"/>
      <c r="US77" s="17"/>
      <c r="UT77" s="17"/>
      <c r="UU77" s="17"/>
      <c r="UV77" s="17"/>
      <c r="UW77" s="17"/>
      <c r="UX77" s="17"/>
      <c r="UY77" s="17"/>
      <c r="UZ77" s="17"/>
      <c r="VA77" s="17"/>
      <c r="VB77" s="17"/>
      <c r="VC77" s="17"/>
      <c r="VD77" s="17"/>
      <c r="VE77" s="17"/>
      <c r="VF77" s="17"/>
      <c r="VG77" s="17"/>
      <c r="VH77" s="17"/>
      <c r="VI77" s="17"/>
      <c r="VJ77" s="17"/>
      <c r="VK77" s="17"/>
      <c r="VL77" s="17"/>
      <c r="VM77" s="17"/>
      <c r="VN77" s="17"/>
      <c r="VO77" s="17"/>
      <c r="VP77" s="17"/>
      <c r="VQ77" s="17"/>
      <c r="VR77" s="17"/>
      <c r="VS77" s="17"/>
      <c r="VT77" s="17"/>
      <c r="VU77" s="17"/>
      <c r="VV77" s="17"/>
      <c r="VW77" s="17"/>
      <c r="VX77" s="17"/>
      <c r="VY77" s="17"/>
      <c r="VZ77" s="17"/>
      <c r="WA77" s="17"/>
      <c r="WB77" s="17"/>
      <c r="WC77" s="17"/>
      <c r="WD77" s="17"/>
      <c r="WE77" s="17"/>
      <c r="WF77" s="17"/>
      <c r="WG77" s="17"/>
      <c r="WH77" s="17"/>
      <c r="WI77" s="17"/>
      <c r="WJ77" s="17"/>
      <c r="WK77" s="17"/>
      <c r="WL77" s="17"/>
      <c r="WM77" s="17"/>
      <c r="WN77" s="17"/>
      <c r="WO77" s="17"/>
      <c r="WP77" s="17"/>
      <c r="WQ77" s="17"/>
      <c r="WR77" s="17"/>
      <c r="WS77" s="17"/>
      <c r="WT77" s="17"/>
      <c r="WU77" s="17"/>
      <c r="WV77" s="17"/>
      <c r="WW77" s="17"/>
      <c r="WX77" s="17"/>
      <c r="WY77" s="17"/>
      <c r="WZ77" s="17"/>
      <c r="XA77" s="17"/>
      <c r="XB77" s="17"/>
      <c r="XC77" s="17"/>
      <c r="XD77" s="17"/>
      <c r="XE77" s="17"/>
      <c r="XF77" s="17"/>
      <c r="XG77" s="17"/>
      <c r="XH77" s="17"/>
      <c r="XI77" s="17"/>
      <c r="XJ77" s="17"/>
      <c r="XK77" s="17"/>
      <c r="XL77" s="17"/>
      <c r="XM77" s="17"/>
      <c r="XN77" s="17"/>
      <c r="XO77" s="17"/>
      <c r="XP77" s="17"/>
      <c r="XQ77" s="17"/>
      <c r="XR77" s="17"/>
      <c r="XS77" s="17"/>
      <c r="XT77" s="17"/>
      <c r="XU77" s="17"/>
      <c r="XV77" s="17"/>
      <c r="XW77" s="17"/>
      <c r="XX77" s="17"/>
      <c r="XY77" s="17"/>
      <c r="XZ77" s="17"/>
      <c r="YA77" s="17"/>
      <c r="YB77" s="17"/>
      <c r="YC77" s="17"/>
      <c r="YD77" s="17"/>
      <c r="YE77" s="17"/>
      <c r="YF77" s="17"/>
      <c r="YG77" s="17"/>
      <c r="YH77" s="17"/>
      <c r="YI77" s="17"/>
      <c r="YJ77" s="17"/>
      <c r="YK77" s="17"/>
      <c r="YL77" s="17"/>
      <c r="YM77" s="17"/>
      <c r="YN77" s="17"/>
      <c r="YO77" s="17"/>
      <c r="YP77" s="17"/>
      <c r="YQ77" s="17"/>
      <c r="YR77" s="17"/>
      <c r="YS77" s="17"/>
      <c r="YT77" s="17"/>
      <c r="YU77" s="17"/>
      <c r="YV77" s="17"/>
      <c r="YW77" s="17"/>
      <c r="YX77" s="17"/>
      <c r="YY77" s="17"/>
      <c r="YZ77" s="17"/>
      <c r="ZA77" s="17"/>
      <c r="ZB77" s="17"/>
      <c r="ZC77" s="17"/>
      <c r="ZD77" s="17"/>
      <c r="ZE77" s="17"/>
      <c r="ZF77" s="17"/>
      <c r="ZG77" s="17"/>
      <c r="ZH77" s="17"/>
      <c r="ZI77" s="17"/>
      <c r="ZJ77" s="17"/>
      <c r="ZK77" s="17"/>
      <c r="ZL77" s="17"/>
      <c r="ZM77" s="17"/>
      <c r="ZN77" s="17"/>
      <c r="ZO77" s="17"/>
      <c r="ZP77" s="17"/>
      <c r="ZQ77" s="17"/>
      <c r="ZR77" s="17"/>
      <c r="ZS77" s="17"/>
      <c r="ZT77" s="17"/>
      <c r="ZU77" s="17"/>
      <c r="ZV77" s="17"/>
      <c r="ZW77" s="17"/>
      <c r="ZX77" s="17"/>
      <c r="ZY77" s="17"/>
      <c r="ZZ77" s="17"/>
      <c r="AAA77" s="17"/>
      <c r="AAB77" s="17"/>
      <c r="AAC77" s="17"/>
      <c r="AAD77" s="17"/>
      <c r="AAE77" s="17"/>
      <c r="AAF77" s="17"/>
      <c r="AAG77" s="17"/>
      <c r="AAH77" s="17"/>
      <c r="AAI77" s="17"/>
      <c r="AAJ77" s="17"/>
      <c r="AAK77" s="17"/>
      <c r="AAL77" s="17"/>
      <c r="AAM77" s="17"/>
      <c r="AAN77" s="17"/>
      <c r="AAO77" s="17"/>
      <c r="AAP77" s="17"/>
      <c r="AAQ77" s="17"/>
      <c r="AAR77" s="17"/>
      <c r="AAS77" s="17"/>
      <c r="AAT77" s="17"/>
      <c r="AAU77" s="17"/>
      <c r="AAV77" s="17"/>
      <c r="AAW77" s="17"/>
      <c r="AAX77" s="17"/>
      <c r="AAY77" s="17"/>
      <c r="AAZ77" s="17"/>
      <c r="ABA77" s="17"/>
      <c r="ABB77" s="17"/>
      <c r="ABC77" s="17"/>
      <c r="ABD77" s="17"/>
      <c r="ABE77" s="17"/>
      <c r="ABF77" s="17"/>
      <c r="ABG77" s="17"/>
      <c r="ABH77" s="17"/>
      <c r="ABI77" s="17"/>
      <c r="ABJ77" s="17"/>
      <c r="ABK77" s="17"/>
      <c r="ABL77" s="17"/>
      <c r="ABM77" s="17"/>
      <c r="ABN77" s="17"/>
      <c r="ABO77" s="17"/>
      <c r="ABP77" s="17"/>
      <c r="ABQ77" s="17"/>
      <c r="ABR77" s="17"/>
      <c r="ABS77" s="17"/>
      <c r="ABT77" s="17"/>
      <c r="ABU77" s="17"/>
      <c r="ABV77" s="17"/>
      <c r="ABW77" s="17"/>
      <c r="ABX77" s="17"/>
      <c r="ABY77" s="17"/>
      <c r="ABZ77" s="17"/>
      <c r="ACA77" s="17"/>
      <c r="ACB77" s="17"/>
      <c r="ACC77" s="17"/>
      <c r="ACD77" s="17"/>
      <c r="ACE77" s="17"/>
      <c r="ACF77" s="17"/>
      <c r="ACG77" s="17"/>
      <c r="ACH77" s="17"/>
      <c r="ACI77" s="17"/>
      <c r="ACJ77" s="17"/>
      <c r="ACK77" s="17"/>
      <c r="ACL77" s="17"/>
      <c r="ACM77" s="17"/>
      <c r="ACN77" s="17"/>
      <c r="ACO77" s="17"/>
      <c r="ACP77" s="17"/>
      <c r="ACQ77" s="17"/>
      <c r="ACR77" s="17"/>
      <c r="ACS77" s="17"/>
      <c r="ACT77" s="17"/>
      <c r="ACU77" s="17"/>
      <c r="ACV77" s="17"/>
      <c r="ACW77" s="17"/>
      <c r="ACX77" s="17"/>
      <c r="ACY77" s="17"/>
      <c r="ACZ77" s="17"/>
      <c r="ADA77" s="17"/>
      <c r="ADB77" s="17"/>
      <c r="ADC77" s="17"/>
      <c r="ADD77" s="17"/>
      <c r="ADE77" s="17"/>
      <c r="ADF77" s="17"/>
      <c r="ADG77" s="17"/>
      <c r="ADH77" s="17"/>
      <c r="ADI77" s="17"/>
      <c r="ADJ77" s="17"/>
      <c r="ADK77" s="17"/>
      <c r="ADL77" s="17"/>
      <c r="ADM77" s="17"/>
      <c r="ADN77" s="17"/>
      <c r="ADO77" s="17"/>
      <c r="ADP77" s="17"/>
      <c r="ADQ77" s="17"/>
      <c r="ADR77" s="17"/>
      <c r="ADS77" s="17"/>
      <c r="ADT77" s="17"/>
      <c r="ADU77" s="17"/>
      <c r="ADV77" s="17"/>
      <c r="ADW77" s="17"/>
      <c r="ADX77" s="17"/>
      <c r="ADY77" s="17"/>
      <c r="ADZ77" s="17"/>
      <c r="AEA77" s="17"/>
      <c r="AEB77" s="17"/>
      <c r="AEC77" s="17"/>
      <c r="AED77" s="17"/>
      <c r="AEE77" s="17"/>
      <c r="AEF77" s="17"/>
      <c r="AEG77" s="17"/>
      <c r="AEH77" s="17"/>
      <c r="AEI77" s="17"/>
      <c r="AEJ77" s="17"/>
      <c r="AEK77" s="17"/>
      <c r="AEL77" s="17"/>
      <c r="AEM77" s="17"/>
      <c r="AEN77" s="17"/>
      <c r="AEO77" s="17"/>
      <c r="AEP77" s="17"/>
      <c r="AEQ77" s="17"/>
      <c r="AER77" s="17"/>
      <c r="AES77" s="17"/>
      <c r="AET77" s="17"/>
      <c r="AEU77" s="17"/>
      <c r="AEV77" s="17"/>
      <c r="AEW77" s="17"/>
      <c r="AEX77" s="17"/>
      <c r="AEY77" s="17"/>
      <c r="AEZ77" s="17"/>
      <c r="AFA77" s="17"/>
      <c r="AFB77" s="17"/>
      <c r="AFC77" s="17"/>
      <c r="AFD77" s="17"/>
      <c r="AFE77" s="17"/>
      <c r="AFF77" s="17"/>
      <c r="AFG77" s="17"/>
      <c r="AFH77" s="17"/>
      <c r="AFI77" s="17"/>
      <c r="AFJ77" s="17"/>
      <c r="AFK77" s="17"/>
      <c r="AFL77" s="17"/>
      <c r="AFM77" s="17"/>
      <c r="AFN77" s="17"/>
      <c r="AFO77" s="17"/>
      <c r="AFP77" s="17"/>
      <c r="AFQ77" s="17"/>
      <c r="AFR77" s="17"/>
      <c r="AFS77" s="17"/>
      <c r="AFT77" s="17"/>
      <c r="AFU77" s="17"/>
      <c r="AFV77" s="17"/>
      <c r="AFW77" s="17"/>
      <c r="AFX77" s="17"/>
      <c r="AFY77" s="17"/>
      <c r="AFZ77" s="17"/>
      <c r="AGA77" s="17"/>
      <c r="AGB77" s="17"/>
      <c r="AGC77" s="17"/>
      <c r="AGD77" s="17"/>
      <c r="AGE77" s="17"/>
      <c r="AGF77" s="17"/>
      <c r="AGG77" s="17"/>
      <c r="AGH77" s="17"/>
      <c r="AGI77" s="17"/>
      <c r="AGJ77" s="17"/>
      <c r="AGK77" s="17"/>
      <c r="AGL77" s="17"/>
      <c r="AGM77" s="17"/>
      <c r="AGN77" s="17"/>
      <c r="AGO77" s="17"/>
      <c r="AGP77" s="17"/>
      <c r="AGQ77" s="17"/>
      <c r="AGR77" s="17"/>
      <c r="AGS77" s="17"/>
      <c r="AGT77" s="17"/>
      <c r="AGU77" s="17"/>
      <c r="AGV77" s="17"/>
      <c r="AGW77" s="17"/>
      <c r="AGX77" s="17"/>
      <c r="AGY77" s="17"/>
      <c r="AGZ77" s="17"/>
      <c r="AHA77" s="17"/>
      <c r="AHB77" s="17"/>
      <c r="AHC77" s="17"/>
      <c r="AHD77" s="17"/>
      <c r="AHE77" s="17"/>
      <c r="AHF77" s="17"/>
      <c r="AHG77" s="17"/>
      <c r="AHH77" s="17"/>
      <c r="AHI77" s="17"/>
      <c r="AHJ77" s="17"/>
      <c r="AHK77" s="17"/>
      <c r="AHL77" s="17"/>
      <c r="AHM77" s="17"/>
      <c r="AHN77" s="17"/>
      <c r="AHO77" s="17"/>
      <c r="AHP77" s="17"/>
      <c r="AHQ77" s="17"/>
      <c r="AHR77" s="17"/>
      <c r="AHS77" s="17"/>
      <c r="AHT77" s="17"/>
      <c r="AHU77" s="17"/>
      <c r="AHV77" s="17"/>
      <c r="AHW77" s="17"/>
      <c r="AHX77" s="17"/>
      <c r="AHY77" s="17"/>
      <c r="AHZ77" s="17"/>
      <c r="AIA77" s="17"/>
      <c r="AIB77" s="17"/>
      <c r="AIC77" s="17"/>
      <c r="AID77" s="17"/>
      <c r="AIE77" s="17"/>
      <c r="AIF77" s="17"/>
      <c r="AIG77" s="17"/>
      <c r="AIH77" s="17"/>
      <c r="AII77" s="17"/>
      <c r="AIJ77" s="17"/>
      <c r="AIK77" s="17"/>
      <c r="AIL77" s="17"/>
      <c r="AIM77" s="17"/>
      <c r="AIN77" s="17"/>
      <c r="AIO77" s="17"/>
      <c r="AIP77" s="17"/>
      <c r="AIQ77" s="17"/>
      <c r="AIR77" s="17"/>
      <c r="AIS77" s="17"/>
      <c r="AIT77" s="17"/>
      <c r="AIU77" s="17"/>
      <c r="AIV77" s="17"/>
      <c r="AIW77" s="17"/>
      <c r="AIX77" s="17"/>
      <c r="AIY77" s="17"/>
      <c r="AIZ77" s="17"/>
      <c r="AJA77" s="17"/>
      <c r="AJB77" s="17"/>
      <c r="AJC77" s="17"/>
      <c r="AJD77" s="17"/>
      <c r="AJE77" s="17"/>
      <c r="AJF77" s="17"/>
      <c r="AJG77" s="17"/>
      <c r="AJH77" s="17"/>
      <c r="AJI77" s="17"/>
      <c r="AJJ77" s="17"/>
      <c r="AJK77" s="17"/>
      <c r="AJL77" s="17"/>
      <c r="AJM77" s="17"/>
      <c r="AJN77" s="17"/>
      <c r="AJO77" s="17"/>
      <c r="AJP77" s="17"/>
      <c r="AJQ77" s="17"/>
      <c r="AJR77" s="17"/>
      <c r="AJS77" s="17"/>
      <c r="AJT77" s="17"/>
      <c r="AJU77" s="17"/>
      <c r="AJV77" s="17"/>
      <c r="AJW77" s="17"/>
      <c r="AJX77" s="17"/>
      <c r="AJY77" s="17"/>
      <c r="AJZ77" s="17"/>
      <c r="AKA77" s="17"/>
      <c r="AKB77" s="17"/>
      <c r="AKC77" s="17"/>
      <c r="AKD77" s="17"/>
      <c r="AKE77" s="17"/>
      <c r="AKF77" s="17"/>
      <c r="AKG77" s="17"/>
      <c r="AKH77" s="17"/>
      <c r="AKI77" s="17"/>
      <c r="AKJ77" s="17"/>
      <c r="AKK77" s="17"/>
      <c r="AKL77" s="17"/>
      <c r="AKM77" s="17"/>
      <c r="AKN77" s="17"/>
      <c r="AKO77" s="17"/>
      <c r="AKP77" s="17"/>
      <c r="AKQ77" s="17"/>
      <c r="AKR77" s="17"/>
      <c r="AKS77" s="17"/>
      <c r="AKT77" s="17"/>
      <c r="AKU77" s="17"/>
      <c r="AKV77" s="17"/>
      <c r="AKW77" s="17"/>
      <c r="AKX77" s="17"/>
      <c r="AKY77" s="17"/>
      <c r="AKZ77" s="17"/>
      <c r="ALA77" s="17"/>
      <c r="ALB77" s="17"/>
      <c r="ALC77" s="17"/>
      <c r="ALD77" s="17"/>
      <c r="ALE77" s="17"/>
      <c r="ALF77" s="17"/>
      <c r="ALG77" s="17"/>
      <c r="ALH77" s="17"/>
      <c r="ALI77" s="17"/>
      <c r="ALJ77" s="17"/>
      <c r="ALK77" s="17"/>
      <c r="ALL77" s="17"/>
      <c r="ALM77" s="17"/>
      <c r="ALN77" s="17"/>
      <c r="ALO77" s="17"/>
      <c r="ALP77" s="17"/>
      <c r="ALQ77" s="17"/>
      <c r="ALR77" s="17"/>
      <c r="ALS77" s="17"/>
      <c r="ALT77" s="17"/>
      <c r="ALU77" s="17"/>
      <c r="ALV77" s="17"/>
      <c r="ALW77" s="17"/>
      <c r="ALX77" s="17"/>
      <c r="ALY77" s="17"/>
      <c r="ALZ77" s="17"/>
      <c r="AMA77" s="17"/>
      <c r="AMB77" s="17"/>
      <c r="AMC77" s="17"/>
      <c r="AMD77" s="17"/>
      <c r="AME77" s="17"/>
      <c r="AMF77" s="17"/>
      <c r="AMG77" s="17"/>
      <c r="AMH77" s="17"/>
      <c r="AMI77" s="17"/>
      <c r="AMJ77" s="17"/>
      <c r="AMK77" s="17"/>
      <c r="AML77" s="17"/>
      <c r="AMM77" s="17"/>
      <c r="AMN77" s="17"/>
      <c r="AMO77" s="17"/>
      <c r="AMP77" s="17"/>
      <c r="AMQ77" s="17"/>
      <c r="AMR77" s="17"/>
      <c r="AMS77" s="17"/>
      <c r="AMT77" s="17"/>
      <c r="AMU77" s="17"/>
      <c r="AMV77" s="17"/>
      <c r="AMW77" s="17"/>
      <c r="AMX77" s="17"/>
      <c r="AMY77" s="17"/>
      <c r="AMZ77" s="17"/>
      <c r="ANA77" s="17"/>
      <c r="ANB77" s="17"/>
      <c r="ANC77" s="17"/>
      <c r="AND77" s="17"/>
      <c r="ANE77" s="17"/>
      <c r="ANF77" s="17"/>
      <c r="ANG77" s="17"/>
      <c r="ANH77" s="17"/>
      <c r="ANI77" s="17"/>
      <c r="ANJ77" s="17"/>
      <c r="ANK77" s="17"/>
      <c r="ANL77" s="17"/>
      <c r="ANM77" s="17"/>
      <c r="ANN77" s="17"/>
      <c r="ANO77" s="17"/>
      <c r="ANP77" s="17"/>
      <c r="ANQ77" s="17"/>
      <c r="ANR77" s="17"/>
      <c r="ANS77" s="17"/>
      <c r="ANT77" s="17"/>
      <c r="ANU77" s="17"/>
      <c r="ANV77" s="17"/>
      <c r="ANW77" s="17"/>
      <c r="ANX77" s="17"/>
      <c r="ANY77" s="17"/>
      <c r="ANZ77" s="17"/>
      <c r="AOA77" s="17"/>
      <c r="AOB77" s="17"/>
      <c r="AOC77" s="17"/>
      <c r="AOD77" s="17"/>
      <c r="AOE77" s="17"/>
      <c r="AOF77" s="17"/>
      <c r="AOG77" s="17"/>
      <c r="AOH77" s="17"/>
      <c r="AOI77" s="17"/>
      <c r="AOJ77" s="17"/>
      <c r="AOK77" s="17"/>
      <c r="AOL77" s="17"/>
      <c r="AOM77" s="17"/>
      <c r="AON77" s="17"/>
      <c r="AOO77" s="17"/>
      <c r="AOP77" s="17"/>
      <c r="AOQ77" s="17"/>
      <c r="AOR77" s="17"/>
      <c r="AOS77" s="17"/>
      <c r="AOT77" s="17"/>
      <c r="AOU77" s="17"/>
      <c r="AOV77" s="17"/>
      <c r="AOW77" s="17"/>
      <c r="AOX77" s="17"/>
      <c r="AOY77" s="17"/>
      <c r="AOZ77" s="17"/>
      <c r="APA77" s="17"/>
      <c r="APB77" s="17"/>
      <c r="APC77" s="17"/>
      <c r="APD77" s="17"/>
      <c r="APE77" s="17"/>
      <c r="APF77" s="17"/>
      <c r="APG77" s="17"/>
      <c r="APH77" s="17"/>
      <c r="API77" s="17"/>
      <c r="APJ77" s="17"/>
      <c r="APK77" s="17"/>
      <c r="APL77" s="17"/>
      <c r="APM77" s="17"/>
      <c r="APN77" s="17"/>
      <c r="APO77" s="17"/>
      <c r="APP77" s="17"/>
      <c r="APQ77" s="17"/>
      <c r="APR77" s="17"/>
      <c r="APS77" s="17"/>
      <c r="APT77" s="17"/>
      <c r="APU77" s="17"/>
      <c r="APV77" s="17"/>
      <c r="APW77" s="17"/>
      <c r="APX77" s="17"/>
      <c r="APY77" s="17"/>
      <c r="APZ77" s="17"/>
      <c r="AQA77" s="17"/>
      <c r="AQB77" s="17"/>
      <c r="AQC77" s="17"/>
      <c r="AQD77" s="17"/>
      <c r="AQE77" s="17"/>
      <c r="AQF77" s="17"/>
      <c r="AQG77" s="17"/>
      <c r="AQH77" s="17"/>
      <c r="AQI77" s="17"/>
      <c r="AQJ77" s="17"/>
      <c r="AQK77" s="17"/>
      <c r="AQL77" s="17"/>
      <c r="AQM77" s="17"/>
      <c r="AQN77" s="17"/>
      <c r="AQO77" s="17"/>
      <c r="AQP77" s="17"/>
      <c r="AQQ77" s="17"/>
      <c r="AQR77" s="17"/>
      <c r="AQS77" s="17"/>
      <c r="AQT77" s="17"/>
      <c r="AQU77" s="17"/>
      <c r="AQV77" s="17"/>
      <c r="AQW77" s="17"/>
      <c r="AQX77" s="17"/>
      <c r="AQY77" s="17"/>
      <c r="AQZ77" s="17"/>
      <c r="ARA77" s="17"/>
      <c r="ARB77" s="17"/>
      <c r="ARC77" s="17"/>
      <c r="ARD77" s="17"/>
      <c r="ARE77" s="17"/>
      <c r="ARF77" s="17"/>
      <c r="ARG77" s="17"/>
      <c r="ARH77" s="17"/>
      <c r="ARI77" s="17"/>
      <c r="ARJ77" s="17"/>
      <c r="ARK77" s="17"/>
      <c r="ARL77" s="17"/>
      <c r="ARM77" s="17"/>
      <c r="ARN77" s="17"/>
      <c r="ARO77" s="17"/>
      <c r="ARP77" s="17"/>
      <c r="ARQ77" s="17"/>
      <c r="ARR77" s="17"/>
      <c r="ARS77" s="17"/>
      <c r="ART77" s="17"/>
      <c r="ARU77" s="17"/>
      <c r="ARV77" s="17"/>
      <c r="ARW77" s="17"/>
      <c r="ARX77" s="17"/>
      <c r="ARY77" s="17"/>
      <c r="ARZ77" s="17"/>
      <c r="ASA77" s="17"/>
      <c r="ASB77" s="17"/>
      <c r="ASC77" s="17"/>
      <c r="ASD77" s="17"/>
      <c r="ASE77" s="17"/>
      <c r="ASF77" s="17"/>
      <c r="ASG77" s="17"/>
      <c r="ASH77" s="17"/>
      <c r="ASI77" s="17"/>
      <c r="ASJ77" s="17"/>
      <c r="ASK77" s="17"/>
      <c r="ASL77" s="17"/>
      <c r="ASM77" s="17"/>
      <c r="ASN77" s="17"/>
      <c r="ASO77" s="17"/>
      <c r="ASP77" s="17"/>
      <c r="ASQ77" s="17"/>
      <c r="ASR77" s="17"/>
      <c r="ASS77" s="17"/>
      <c r="AST77" s="17"/>
      <c r="ASU77" s="17"/>
      <c r="ASV77" s="17"/>
      <c r="ASW77" s="17"/>
      <c r="ASX77" s="17"/>
      <c r="ASY77" s="17"/>
      <c r="ASZ77" s="17"/>
      <c r="ATA77" s="17"/>
      <c r="ATB77" s="17"/>
      <c r="ATC77" s="17"/>
      <c r="ATD77" s="17"/>
      <c r="ATE77" s="17"/>
      <c r="ATF77" s="17"/>
      <c r="ATG77" s="17"/>
      <c r="ATH77" s="17"/>
      <c r="ATI77" s="17"/>
      <c r="ATJ77" s="17"/>
      <c r="ATK77" s="17"/>
      <c r="ATL77" s="17"/>
      <c r="ATM77" s="17"/>
      <c r="ATN77" s="17"/>
      <c r="ATO77" s="17"/>
      <c r="ATP77" s="17"/>
      <c r="ATQ77" s="17"/>
      <c r="ATR77" s="17"/>
      <c r="ATS77" s="17"/>
      <c r="ATT77" s="17"/>
      <c r="ATU77" s="17"/>
      <c r="ATV77" s="17"/>
      <c r="ATW77" s="17"/>
      <c r="ATX77" s="17"/>
      <c r="ATY77" s="17"/>
      <c r="ATZ77" s="17"/>
      <c r="AUA77" s="17"/>
      <c r="AUB77" s="17"/>
      <c r="AUC77" s="17"/>
      <c r="AUD77" s="17"/>
      <c r="AUE77" s="17"/>
      <c r="AUF77" s="17"/>
      <c r="AUG77" s="17"/>
      <c r="AUH77" s="17"/>
      <c r="AUI77" s="17"/>
      <c r="AUJ77" s="17"/>
      <c r="AUK77" s="17"/>
      <c r="AUL77" s="17"/>
      <c r="AUM77" s="17"/>
      <c r="AUN77" s="17"/>
      <c r="AUO77" s="17"/>
      <c r="AUP77" s="17"/>
      <c r="AUQ77" s="17"/>
      <c r="AUR77" s="17"/>
      <c r="AUS77" s="17"/>
      <c r="AUT77" s="17"/>
      <c r="AUU77" s="17"/>
      <c r="AUV77" s="17"/>
      <c r="AUW77" s="17"/>
      <c r="AUX77" s="17"/>
      <c r="AUY77" s="17"/>
      <c r="AUZ77" s="17"/>
      <c r="AVA77" s="17"/>
      <c r="AVB77" s="17"/>
      <c r="AVC77" s="17"/>
      <c r="AVD77" s="17"/>
      <c r="AVE77" s="17"/>
      <c r="AVF77" s="17"/>
      <c r="AVG77" s="17"/>
      <c r="AVH77" s="17"/>
      <c r="AVI77" s="17"/>
      <c r="AVJ77" s="17"/>
      <c r="AVK77" s="17"/>
      <c r="AVL77" s="17"/>
      <c r="AVM77" s="17"/>
      <c r="AVN77" s="17"/>
      <c r="AVO77" s="17"/>
      <c r="AVP77" s="17"/>
      <c r="AVQ77" s="17"/>
      <c r="AVR77" s="17"/>
      <c r="AVS77" s="17"/>
      <c r="AVT77" s="17"/>
      <c r="AVU77" s="17"/>
      <c r="AVV77" s="17"/>
      <c r="AVW77" s="17"/>
      <c r="AVX77" s="17"/>
      <c r="AVY77" s="17"/>
      <c r="AVZ77" s="17"/>
      <c r="AWA77" s="17"/>
      <c r="AWB77" s="17"/>
      <c r="AWC77" s="17"/>
      <c r="AWD77" s="17"/>
      <c r="AWE77" s="17"/>
      <c r="AWF77" s="17"/>
      <c r="AWG77" s="17"/>
      <c r="AWH77" s="17"/>
      <c r="AWI77" s="17"/>
      <c r="AWJ77" s="17"/>
      <c r="AWK77" s="17"/>
      <c r="AWL77" s="17"/>
      <c r="AWM77" s="17"/>
      <c r="AWN77" s="17"/>
      <c r="AWO77" s="17"/>
      <c r="AWP77" s="17"/>
      <c r="AWQ77" s="17"/>
      <c r="AWR77" s="17"/>
      <c r="AWS77" s="17"/>
      <c r="AWT77" s="17"/>
      <c r="AWU77" s="17"/>
      <c r="AWV77" s="17"/>
      <c r="AWW77" s="17"/>
      <c r="AWX77" s="17"/>
      <c r="AWY77" s="17"/>
      <c r="AWZ77" s="17"/>
      <c r="AXA77" s="17"/>
      <c r="AXB77" s="17"/>
      <c r="AXC77" s="17"/>
      <c r="AXD77" s="17"/>
      <c r="AXE77" s="17"/>
      <c r="AXF77" s="17"/>
      <c r="AXG77" s="17"/>
      <c r="AXH77" s="17"/>
      <c r="AXI77" s="17"/>
      <c r="AXJ77" s="17"/>
      <c r="AXK77" s="17"/>
      <c r="AXL77" s="17"/>
      <c r="AXM77" s="17"/>
      <c r="AXN77" s="17"/>
      <c r="AXO77" s="17"/>
      <c r="AXP77" s="17"/>
      <c r="AXQ77" s="17"/>
      <c r="AXR77" s="17"/>
      <c r="AXS77" s="17"/>
      <c r="AXT77" s="17"/>
      <c r="AXU77" s="17"/>
      <c r="AXV77" s="17"/>
      <c r="AXW77" s="17"/>
      <c r="AXX77" s="17"/>
      <c r="AXY77" s="17"/>
      <c r="AXZ77" s="17"/>
      <c r="AYA77" s="17"/>
      <c r="AYB77" s="17"/>
      <c r="AYC77" s="17"/>
      <c r="AYD77" s="17"/>
      <c r="AYE77" s="17"/>
      <c r="AYF77" s="17"/>
      <c r="AYG77" s="17"/>
      <c r="AYH77" s="17"/>
      <c r="AYI77" s="17"/>
      <c r="AYJ77" s="17"/>
      <c r="AYK77" s="17"/>
      <c r="AYL77" s="17"/>
      <c r="AYM77" s="17"/>
      <c r="AYN77" s="17"/>
      <c r="AYO77" s="17"/>
      <c r="AYP77" s="17"/>
      <c r="AYQ77" s="17"/>
      <c r="AYR77" s="17"/>
      <c r="AYS77" s="17"/>
      <c r="AYT77" s="17"/>
      <c r="AYU77" s="17"/>
      <c r="AYV77" s="17"/>
      <c r="AYW77" s="17"/>
      <c r="AYX77" s="17"/>
      <c r="AYY77" s="17"/>
      <c r="AYZ77" s="17"/>
      <c r="AZA77" s="17"/>
      <c r="AZB77" s="17"/>
      <c r="AZC77" s="17"/>
      <c r="AZD77" s="17"/>
      <c r="AZE77" s="17"/>
      <c r="AZF77" s="17"/>
      <c r="AZG77" s="17"/>
      <c r="AZH77" s="17"/>
      <c r="AZI77" s="17"/>
      <c r="AZJ77" s="17"/>
      <c r="AZK77" s="17"/>
      <c r="AZL77" s="17"/>
      <c r="AZM77" s="17"/>
      <c r="AZN77" s="17"/>
      <c r="AZO77" s="17"/>
      <c r="AZP77" s="17"/>
      <c r="AZQ77" s="17"/>
      <c r="AZR77" s="17"/>
      <c r="AZS77" s="17"/>
      <c r="AZT77" s="17"/>
      <c r="AZU77" s="17"/>
      <c r="AZV77" s="17"/>
      <c r="AZW77" s="17"/>
      <c r="AZX77" s="17"/>
      <c r="AZY77" s="17"/>
      <c r="AZZ77" s="17"/>
      <c r="BAA77" s="17"/>
      <c r="BAB77" s="17"/>
      <c r="BAC77" s="17"/>
      <c r="BAD77" s="17"/>
      <c r="BAE77" s="17"/>
      <c r="BAF77" s="17"/>
      <c r="BAG77" s="17"/>
      <c r="BAH77" s="17"/>
      <c r="BAI77" s="17"/>
      <c r="BAJ77" s="17"/>
      <c r="BAK77" s="17"/>
      <c r="BAL77" s="17"/>
      <c r="BAM77" s="17"/>
      <c r="BAN77" s="17"/>
      <c r="BAO77" s="17"/>
      <c r="BAP77" s="17"/>
      <c r="BAQ77" s="17"/>
      <c r="BAR77" s="17"/>
      <c r="BAS77" s="17"/>
      <c r="BAT77" s="17"/>
      <c r="BAU77" s="17"/>
      <c r="BAV77" s="17"/>
      <c r="BAW77" s="17"/>
      <c r="BAX77" s="17"/>
      <c r="BAY77" s="17"/>
      <c r="BAZ77" s="17"/>
      <c r="BBA77" s="17"/>
      <c r="BBB77" s="17"/>
      <c r="BBC77" s="17"/>
      <c r="BBD77" s="17"/>
      <c r="BBE77" s="17"/>
      <c r="BBF77" s="17"/>
      <c r="BBG77" s="17"/>
      <c r="BBH77" s="17"/>
      <c r="BBI77" s="17"/>
      <c r="BBJ77" s="17"/>
      <c r="BBK77" s="17"/>
      <c r="BBL77" s="17"/>
      <c r="BBM77" s="17"/>
      <c r="BBN77" s="17"/>
      <c r="BBO77" s="17"/>
      <c r="BBP77" s="17"/>
      <c r="BBQ77" s="17"/>
      <c r="BBR77" s="17"/>
      <c r="BBS77" s="17"/>
      <c r="BBT77" s="17"/>
      <c r="BBU77" s="17"/>
      <c r="BBV77" s="17"/>
      <c r="BBW77" s="17"/>
      <c r="BBX77" s="17"/>
      <c r="BBY77" s="17"/>
      <c r="BBZ77" s="17"/>
      <c r="BCA77" s="17"/>
      <c r="BCB77" s="17"/>
      <c r="BCC77" s="17"/>
      <c r="BCD77" s="17"/>
      <c r="BCE77" s="17"/>
      <c r="BCF77" s="17"/>
      <c r="BCG77" s="17"/>
      <c r="BCH77" s="17"/>
      <c r="BCI77" s="17"/>
      <c r="BCJ77" s="17"/>
      <c r="BCK77" s="17"/>
      <c r="BCL77" s="17"/>
      <c r="BCM77" s="17"/>
      <c r="BCN77" s="17"/>
      <c r="BCO77" s="17"/>
      <c r="BCP77" s="17"/>
      <c r="BCQ77" s="17"/>
      <c r="BCR77" s="17"/>
      <c r="BCS77" s="17"/>
      <c r="BCT77" s="17"/>
      <c r="BCU77" s="17"/>
      <c r="BCV77" s="17"/>
      <c r="BCW77" s="17"/>
      <c r="BCX77" s="17"/>
      <c r="BCY77" s="17"/>
      <c r="BCZ77" s="17"/>
      <c r="BDA77" s="17"/>
      <c r="BDB77" s="17"/>
      <c r="BDC77" s="17"/>
      <c r="BDD77" s="17"/>
      <c r="BDE77" s="17"/>
      <c r="BDF77" s="17"/>
      <c r="BDG77" s="17"/>
      <c r="BDH77" s="17"/>
      <c r="BDI77" s="17"/>
      <c r="BDJ77" s="17"/>
      <c r="BDK77" s="17"/>
      <c r="BDL77" s="17"/>
      <c r="BDM77" s="17"/>
      <c r="BDN77" s="17"/>
      <c r="BDO77" s="17"/>
      <c r="BDP77" s="17"/>
      <c r="BDQ77" s="17"/>
      <c r="BDR77" s="17"/>
      <c r="BDS77" s="17"/>
      <c r="BDT77" s="17"/>
      <c r="BDU77" s="17"/>
      <c r="BDV77" s="17"/>
      <c r="BDW77" s="17"/>
      <c r="BDX77" s="17"/>
      <c r="BDY77" s="17"/>
      <c r="BDZ77" s="17"/>
      <c r="BEA77" s="17"/>
      <c r="BEB77" s="17"/>
      <c r="BEC77" s="17"/>
      <c r="BED77" s="17"/>
      <c r="BEE77" s="17"/>
      <c r="BEF77" s="17"/>
      <c r="BEG77" s="17"/>
      <c r="BEH77" s="17"/>
      <c r="BEI77" s="17"/>
      <c r="BEJ77" s="17"/>
      <c r="BEK77" s="17"/>
      <c r="BEL77" s="17"/>
      <c r="BEM77" s="17"/>
      <c r="BEN77" s="17"/>
      <c r="BEO77" s="17"/>
      <c r="BEP77" s="17"/>
      <c r="BEQ77" s="17"/>
      <c r="BER77" s="17"/>
      <c r="BES77" s="17"/>
      <c r="BET77" s="17"/>
      <c r="BEU77" s="17"/>
      <c r="BEV77" s="17"/>
      <c r="BEW77" s="17"/>
      <c r="BEX77" s="17"/>
      <c r="BEY77" s="17"/>
      <c r="BEZ77" s="17"/>
      <c r="BFA77" s="17"/>
      <c r="BFB77" s="17"/>
      <c r="BFC77" s="17"/>
      <c r="BFD77" s="17"/>
      <c r="BFE77" s="17"/>
      <c r="BFF77" s="17"/>
      <c r="BFG77" s="17"/>
      <c r="BFH77" s="17"/>
      <c r="BFI77" s="17"/>
      <c r="BFJ77" s="17"/>
      <c r="BFK77" s="17"/>
      <c r="BFL77" s="17"/>
      <c r="BFM77" s="17"/>
      <c r="BFN77" s="17"/>
      <c r="BFO77" s="17"/>
      <c r="BFP77" s="17"/>
      <c r="BFQ77" s="17"/>
      <c r="BFR77" s="17"/>
      <c r="BFS77" s="17"/>
      <c r="BFT77" s="17"/>
      <c r="BFU77" s="17"/>
      <c r="BFV77" s="17"/>
      <c r="BFW77" s="17"/>
      <c r="BFX77" s="17"/>
      <c r="BFY77" s="17"/>
      <c r="BFZ77" s="17"/>
      <c r="BGA77" s="17"/>
      <c r="BGB77" s="17"/>
      <c r="BGC77" s="17"/>
      <c r="BGD77" s="17"/>
      <c r="BGE77" s="17"/>
      <c r="BGF77" s="17"/>
      <c r="BGG77" s="17"/>
      <c r="BGH77" s="17"/>
      <c r="BGI77" s="17"/>
      <c r="BGJ77" s="17"/>
      <c r="BGK77" s="17"/>
      <c r="BGL77" s="17"/>
      <c r="BGM77" s="17"/>
      <c r="BGN77" s="17"/>
      <c r="BGO77" s="17"/>
      <c r="BGP77" s="17"/>
      <c r="BGQ77" s="17"/>
      <c r="BGR77" s="17"/>
      <c r="BGS77" s="17"/>
      <c r="BGT77" s="17"/>
      <c r="BGU77" s="17"/>
      <c r="BGV77" s="17"/>
      <c r="BGW77" s="17"/>
      <c r="BGX77" s="17"/>
      <c r="BGY77" s="17"/>
      <c r="BGZ77" s="17"/>
      <c r="BHA77" s="17"/>
      <c r="BHB77" s="17"/>
      <c r="BHC77" s="17"/>
      <c r="BHD77" s="17"/>
      <c r="BHE77" s="17"/>
      <c r="BHF77" s="17"/>
      <c r="BHG77" s="17"/>
      <c r="BHH77" s="17"/>
      <c r="BHI77" s="17"/>
      <c r="BHJ77" s="17"/>
      <c r="BHK77" s="17"/>
      <c r="BHL77" s="17"/>
      <c r="BHM77" s="17"/>
      <c r="BHN77" s="17"/>
      <c r="BHO77" s="17"/>
      <c r="BHP77" s="17"/>
      <c r="BHQ77" s="17"/>
      <c r="BHR77" s="17"/>
      <c r="BHS77" s="17"/>
      <c r="BHT77" s="17"/>
      <c r="BHU77" s="17"/>
      <c r="BHV77" s="17"/>
      <c r="BHW77" s="17"/>
      <c r="BHX77" s="17"/>
      <c r="BHY77" s="17"/>
      <c r="BHZ77" s="17"/>
      <c r="BIA77" s="17"/>
      <c r="BIB77" s="17"/>
      <c r="BIC77" s="17"/>
      <c r="BID77" s="17"/>
      <c r="BIE77" s="17"/>
      <c r="BIF77" s="17"/>
      <c r="BIG77" s="17"/>
      <c r="BIH77" s="17"/>
      <c r="BII77" s="17"/>
      <c r="BIJ77" s="17"/>
      <c r="BIK77" s="17"/>
      <c r="BIL77" s="17"/>
      <c r="BIM77" s="17"/>
      <c r="BIN77" s="17"/>
      <c r="BIO77" s="17"/>
      <c r="BIP77" s="17"/>
      <c r="BIQ77" s="17"/>
      <c r="BIR77" s="17"/>
      <c r="BIS77" s="17"/>
      <c r="BIT77" s="17"/>
      <c r="BIU77" s="17"/>
      <c r="BIV77" s="17"/>
      <c r="BIW77" s="17"/>
      <c r="BIX77" s="17"/>
      <c r="BIY77" s="17"/>
      <c r="BIZ77" s="17"/>
      <c r="BJA77" s="17"/>
      <c r="BJB77" s="17"/>
      <c r="BJC77" s="17"/>
      <c r="BJD77" s="17"/>
      <c r="BJE77" s="17"/>
      <c r="BJF77" s="17"/>
      <c r="BJG77" s="17"/>
      <c r="BJH77" s="17"/>
      <c r="BJI77" s="17"/>
      <c r="BJJ77" s="17"/>
      <c r="BJK77" s="17"/>
      <c r="BJL77" s="17"/>
      <c r="BJM77" s="17"/>
      <c r="BJN77" s="17"/>
      <c r="BJO77" s="17"/>
      <c r="BJP77" s="17"/>
      <c r="BJQ77" s="17"/>
      <c r="BJR77" s="17"/>
      <c r="BJS77" s="17"/>
      <c r="BJT77" s="17"/>
      <c r="BJU77" s="17"/>
      <c r="BJV77" s="17"/>
      <c r="BJW77" s="17"/>
      <c r="BJX77" s="17"/>
      <c r="BJY77" s="17"/>
      <c r="BJZ77" s="17"/>
      <c r="BKA77" s="17"/>
      <c r="BKB77" s="17"/>
      <c r="BKC77" s="17"/>
      <c r="BKD77" s="17"/>
      <c r="BKE77" s="17"/>
      <c r="BKF77" s="17"/>
      <c r="BKG77" s="17"/>
      <c r="BKH77" s="17"/>
      <c r="BKI77" s="17"/>
      <c r="BKJ77" s="17"/>
      <c r="BKK77" s="17"/>
      <c r="BKL77" s="17"/>
      <c r="BKM77" s="17"/>
      <c r="BKN77" s="17"/>
      <c r="BKO77" s="17"/>
      <c r="BKP77" s="17"/>
      <c r="BKQ77" s="17"/>
      <c r="BKR77" s="17"/>
      <c r="BKS77" s="17"/>
      <c r="BKT77" s="17"/>
      <c r="BKU77" s="17"/>
      <c r="BKV77" s="17"/>
      <c r="BKW77" s="17"/>
      <c r="BKX77" s="17"/>
      <c r="BKY77" s="17"/>
      <c r="BKZ77" s="17"/>
      <c r="BLA77" s="17"/>
      <c r="BLB77" s="17"/>
      <c r="BLC77" s="17"/>
      <c r="BLD77" s="17"/>
      <c r="BLE77" s="17"/>
      <c r="BLF77" s="17"/>
      <c r="BLG77" s="17"/>
      <c r="BLH77" s="17"/>
      <c r="BLI77" s="17"/>
      <c r="BLJ77" s="17"/>
      <c r="BLK77" s="17"/>
      <c r="BLL77" s="17"/>
      <c r="BLM77" s="17"/>
      <c r="BLN77" s="17"/>
      <c r="BLO77" s="17"/>
      <c r="BLP77" s="17"/>
      <c r="BLQ77" s="17"/>
      <c r="BLR77" s="17"/>
      <c r="BLS77" s="17"/>
      <c r="BLT77" s="17"/>
      <c r="BLU77" s="17"/>
      <c r="BLV77" s="17"/>
      <c r="BLW77" s="17"/>
      <c r="BLX77" s="17"/>
      <c r="BLY77" s="17"/>
      <c r="BLZ77" s="17"/>
      <c r="BMA77" s="17"/>
      <c r="BMB77" s="17"/>
      <c r="BMC77" s="17"/>
      <c r="BMD77" s="17"/>
      <c r="BME77" s="17"/>
      <c r="BMF77" s="17"/>
      <c r="BMG77" s="17"/>
      <c r="BMH77" s="17"/>
      <c r="BMI77" s="17"/>
      <c r="BMJ77" s="17"/>
      <c r="BMK77" s="17"/>
      <c r="BML77" s="17"/>
      <c r="BMM77" s="17"/>
      <c r="BMN77" s="17"/>
      <c r="BMO77" s="17"/>
      <c r="BMP77" s="17"/>
      <c r="BMQ77" s="17"/>
      <c r="BMR77" s="17"/>
      <c r="BMS77" s="17"/>
      <c r="BMT77" s="17"/>
      <c r="BMU77" s="17"/>
      <c r="BMV77" s="17"/>
      <c r="BMW77" s="17"/>
      <c r="BMX77" s="17"/>
      <c r="BMY77" s="17"/>
      <c r="BMZ77" s="17"/>
      <c r="BNA77" s="17"/>
      <c r="BNB77" s="17"/>
      <c r="BNC77" s="17"/>
      <c r="BND77" s="17"/>
      <c r="BNE77" s="17"/>
      <c r="BNF77" s="17"/>
      <c r="BNG77" s="17"/>
      <c r="BNH77" s="17"/>
      <c r="BNI77" s="17"/>
      <c r="BNJ77" s="17"/>
      <c r="BNK77" s="17"/>
      <c r="BNL77" s="17"/>
      <c r="BNM77" s="17"/>
      <c r="BNN77" s="17"/>
      <c r="BNO77" s="17"/>
      <c r="BNP77" s="17"/>
      <c r="BNQ77" s="17"/>
      <c r="BNR77" s="17"/>
      <c r="BNS77" s="17"/>
      <c r="BNT77" s="17"/>
      <c r="BNU77" s="17"/>
      <c r="BNV77" s="17"/>
    </row>
    <row r="78" spans="1:1738" x14ac:dyDescent="0.25">
      <c r="A78" s="9" t="s">
        <v>94</v>
      </c>
      <c r="B78" s="15" t="s">
        <v>58</v>
      </c>
      <c r="C78" s="72">
        <v>492</v>
      </c>
      <c r="D78" s="249" t="s">
        <v>273</v>
      </c>
      <c r="E78" s="300">
        <v>26</v>
      </c>
      <c r="F78" s="298">
        <v>0.11538461538461539</v>
      </c>
      <c r="G78" s="287">
        <v>0.33600000000000002</v>
      </c>
      <c r="H78" s="14">
        <v>0.73680000000000001</v>
      </c>
      <c r="I78" s="285">
        <v>4.3</v>
      </c>
      <c r="J78" s="64" t="s">
        <v>273</v>
      </c>
      <c r="K78" s="395" t="s">
        <v>273</v>
      </c>
      <c r="L78" s="245">
        <v>3</v>
      </c>
      <c r="M78" s="248" t="s">
        <v>273</v>
      </c>
      <c r="N78" s="133"/>
      <c r="O78" s="133"/>
      <c r="P78" s="133"/>
      <c r="Q78" s="174"/>
      <c r="R78" s="17"/>
      <c r="S78" s="17"/>
      <c r="T78" s="17"/>
    </row>
    <row r="79" spans="1:1738" x14ac:dyDescent="0.25">
      <c r="A79" s="9" t="s">
        <v>57</v>
      </c>
      <c r="B79" s="15" t="s">
        <v>58</v>
      </c>
      <c r="C79" s="72">
        <v>97</v>
      </c>
      <c r="D79" s="196">
        <v>281.45999999999998</v>
      </c>
      <c r="E79" s="306">
        <v>190</v>
      </c>
      <c r="F79" s="311">
        <v>0.12631578947368421</v>
      </c>
      <c r="G79" s="287">
        <v>0.214</v>
      </c>
      <c r="H79" s="14">
        <v>0.60060000000000002</v>
      </c>
      <c r="I79" s="285">
        <v>5</v>
      </c>
      <c r="J79" s="64">
        <v>0.19653179190751446</v>
      </c>
      <c r="K79" s="395">
        <v>0.78034682080924855</v>
      </c>
      <c r="L79" s="245">
        <v>46</v>
      </c>
      <c r="M79" s="253">
        <f>40/D79</f>
        <v>0.14211610886093939</v>
      </c>
      <c r="N79" s="133"/>
      <c r="O79" s="133"/>
      <c r="P79" s="133"/>
      <c r="Q79" s="174"/>
      <c r="R79" s="17"/>
      <c r="S79" s="17"/>
      <c r="T79" s="17"/>
    </row>
    <row r="80" spans="1:1738" x14ac:dyDescent="0.25">
      <c r="A80" s="27" t="s">
        <v>85</v>
      </c>
      <c r="B80" s="15" t="s">
        <v>88</v>
      </c>
      <c r="C80" s="72">
        <v>455</v>
      </c>
      <c r="D80" s="16" t="s">
        <v>273</v>
      </c>
      <c r="E80" s="300">
        <v>24</v>
      </c>
      <c r="F80" s="313">
        <v>0.16666666666666666</v>
      </c>
      <c r="G80" s="287">
        <v>0.16</v>
      </c>
      <c r="H80" s="14">
        <v>0.9375</v>
      </c>
      <c r="I80" s="285">
        <v>2.6</v>
      </c>
      <c r="J80" s="64" t="s">
        <v>273</v>
      </c>
      <c r="K80" s="395" t="s">
        <v>273</v>
      </c>
      <c r="L80" s="245">
        <v>2</v>
      </c>
      <c r="M80" s="248" t="s">
        <v>273</v>
      </c>
      <c r="N80" s="133"/>
      <c r="O80" s="133"/>
      <c r="P80" s="133"/>
      <c r="Q80" s="174"/>
      <c r="R80" s="17"/>
      <c r="S80" s="17"/>
      <c r="T80" s="17"/>
    </row>
    <row r="81" spans="1:20" ht="13.5" customHeight="1" x14ac:dyDescent="0.25">
      <c r="A81" s="228"/>
      <c r="B81" s="180"/>
      <c r="C81" s="177"/>
      <c r="D81" s="250"/>
      <c r="E81" s="194"/>
      <c r="F81" s="312"/>
      <c r="G81" s="288"/>
      <c r="H81" s="434"/>
      <c r="I81" s="470"/>
      <c r="J81" s="84"/>
      <c r="K81" s="400"/>
      <c r="L81" s="403"/>
      <c r="M81" s="247"/>
      <c r="N81" s="194"/>
      <c r="O81" s="194"/>
      <c r="P81" s="194"/>
      <c r="Q81" s="174"/>
      <c r="R81" s="17"/>
      <c r="S81" s="17"/>
      <c r="T81" s="17"/>
    </row>
    <row r="82" spans="1:20" s="17" customFormat="1" x14ac:dyDescent="0.25">
      <c r="A82" s="227"/>
      <c r="B82" s="176"/>
      <c r="C82" s="176"/>
      <c r="D82" s="176"/>
      <c r="E82" s="194"/>
      <c r="F82" s="174"/>
      <c r="G82" s="442"/>
      <c r="H82" s="205"/>
      <c r="I82" s="181"/>
      <c r="J82" s="175"/>
      <c r="K82" s="175"/>
      <c r="L82" s="176"/>
      <c r="M82" s="181"/>
      <c r="N82" s="174"/>
      <c r="O82" s="174"/>
      <c r="P82" s="174"/>
      <c r="Q82" s="174"/>
    </row>
    <row r="83" spans="1:20" s="17" customFormat="1" x14ac:dyDescent="0.25">
      <c r="A83" s="176"/>
      <c r="B83" s="308"/>
      <c r="C83" s="241"/>
      <c r="D83" s="240"/>
      <c r="E83" s="240"/>
      <c r="F83" s="181"/>
      <c r="G83" s="204"/>
      <c r="H83" s="175"/>
      <c r="I83" s="79"/>
      <c r="J83" s="174"/>
      <c r="K83" s="174"/>
      <c r="L83" s="174"/>
      <c r="M83" s="174"/>
      <c r="N83" s="174"/>
      <c r="O83" s="174"/>
      <c r="P83" s="174"/>
      <c r="Q83" s="174"/>
    </row>
    <row r="84" spans="1:20" s="17" customFormat="1" x14ac:dyDescent="0.25">
      <c r="A84" s="229"/>
      <c r="B84" s="66"/>
      <c r="C84" s="144"/>
      <c r="D84" s="174"/>
      <c r="E84" s="489"/>
      <c r="F84" s="175"/>
      <c r="G84" s="205"/>
      <c r="H84" s="490"/>
      <c r="I84" s="174"/>
      <c r="J84" s="174"/>
      <c r="K84" s="174"/>
      <c r="L84" s="174"/>
      <c r="M84" s="174"/>
      <c r="N84" s="174"/>
      <c r="O84" s="174"/>
      <c r="P84" s="174"/>
      <c r="Q84" s="174"/>
    </row>
    <row r="85" spans="1:20" s="17" customFormat="1" x14ac:dyDescent="0.25">
      <c r="A85" s="229"/>
      <c r="B85" s="55"/>
      <c r="C85" s="55"/>
      <c r="D85" s="176"/>
      <c r="E85" s="194"/>
      <c r="F85" s="174"/>
      <c r="G85" s="442"/>
      <c r="H85" s="205"/>
      <c r="I85" s="174"/>
      <c r="J85" s="204"/>
      <c r="K85" s="175"/>
      <c r="L85" s="491"/>
      <c r="M85" s="174"/>
      <c r="N85" s="174"/>
      <c r="O85" s="174"/>
      <c r="P85" s="174"/>
      <c r="Q85" s="174"/>
    </row>
    <row r="86" spans="1:20" s="17" customFormat="1" x14ac:dyDescent="0.25">
      <c r="A86" s="229"/>
      <c r="B86" s="55"/>
      <c r="C86" s="55"/>
      <c r="D86" s="176"/>
      <c r="E86" s="194"/>
      <c r="F86" s="174"/>
      <c r="G86" s="442"/>
      <c r="H86" s="205"/>
      <c r="I86" s="174"/>
      <c r="J86" s="204"/>
      <c r="K86" s="175"/>
      <c r="L86" s="491"/>
      <c r="M86" s="174"/>
      <c r="N86" s="174"/>
      <c r="O86" s="174"/>
      <c r="P86" s="174"/>
      <c r="Q86" s="174"/>
    </row>
    <row r="87" spans="1:20" s="17" customFormat="1" x14ac:dyDescent="0.25">
      <c r="A87" s="229"/>
      <c r="B87" s="55"/>
      <c r="C87" s="55"/>
      <c r="D87" s="176"/>
      <c r="E87" s="194"/>
      <c r="F87" s="174"/>
      <c r="G87" s="442"/>
      <c r="H87" s="205"/>
      <c r="I87" s="174"/>
      <c r="J87" s="204"/>
      <c r="K87" s="175"/>
      <c r="L87" s="491"/>
      <c r="M87" s="174"/>
      <c r="N87" s="174"/>
      <c r="O87" s="174"/>
      <c r="P87" s="174"/>
      <c r="Q87" s="174"/>
    </row>
    <row r="88" spans="1:20" s="17" customFormat="1" x14ac:dyDescent="0.25">
      <c r="A88" s="229"/>
      <c r="B88" s="55"/>
      <c r="C88" s="55"/>
      <c r="D88" s="176"/>
      <c r="E88" s="194"/>
      <c r="F88" s="174"/>
      <c r="G88" s="442"/>
      <c r="H88" s="205"/>
      <c r="I88" s="174"/>
      <c r="J88" s="201"/>
      <c r="K88" s="492"/>
      <c r="L88" s="491"/>
      <c r="M88" s="174"/>
      <c r="N88" s="174"/>
      <c r="O88" s="174"/>
      <c r="P88" s="174"/>
      <c r="Q88" s="174"/>
    </row>
    <row r="89" spans="1:20" s="17" customFormat="1" x14ac:dyDescent="0.25">
      <c r="A89" s="229"/>
      <c r="B89" s="55"/>
      <c r="C89" s="55"/>
      <c r="D89" s="176"/>
      <c r="E89" s="194"/>
      <c r="F89" s="174"/>
      <c r="G89" s="442"/>
      <c r="H89" s="205"/>
      <c r="I89" s="174"/>
      <c r="J89" s="201"/>
      <c r="K89" s="492"/>
      <c r="L89" s="491"/>
      <c r="M89" s="174"/>
      <c r="N89" s="174"/>
      <c r="O89" s="174"/>
      <c r="P89" s="174"/>
      <c r="Q89" s="174"/>
    </row>
    <row r="90" spans="1:20" s="17" customFormat="1" x14ac:dyDescent="0.25">
      <c r="A90" s="229"/>
      <c r="B90" s="55"/>
      <c r="C90" s="55"/>
      <c r="D90" s="176"/>
      <c r="E90" s="194"/>
      <c r="F90" s="174"/>
      <c r="G90" s="442"/>
      <c r="H90" s="205"/>
      <c r="I90" s="174"/>
      <c r="J90" s="201"/>
      <c r="K90" s="492"/>
      <c r="L90" s="491"/>
      <c r="M90" s="174"/>
      <c r="N90" s="174"/>
      <c r="O90" s="174"/>
      <c r="P90" s="174"/>
      <c r="Q90" s="174"/>
    </row>
    <row r="91" spans="1:20" s="17" customFormat="1" x14ac:dyDescent="0.25">
      <c r="A91" s="229"/>
      <c r="B91" s="55"/>
      <c r="C91" s="55"/>
      <c r="D91" s="176"/>
      <c r="E91" s="194"/>
      <c r="F91" s="174"/>
      <c r="G91" s="442"/>
      <c r="H91" s="205"/>
      <c r="I91" s="174"/>
      <c r="J91" s="201"/>
      <c r="K91" s="492"/>
      <c r="L91" s="491"/>
      <c r="M91" s="174"/>
      <c r="N91" s="174"/>
      <c r="O91" s="174"/>
      <c r="P91" s="174"/>
      <c r="Q91" s="174"/>
    </row>
    <row r="92" spans="1:20" s="17" customFormat="1" x14ac:dyDescent="0.25">
      <c r="A92" s="229"/>
      <c r="B92" s="55"/>
      <c r="C92" s="55"/>
      <c r="D92" s="176"/>
      <c r="E92" s="194"/>
      <c r="F92" s="174"/>
      <c r="G92" s="442"/>
      <c r="H92" s="205"/>
      <c r="I92" s="174"/>
      <c r="J92" s="201"/>
      <c r="K92" s="492"/>
      <c r="L92" s="491"/>
      <c r="M92" s="174"/>
      <c r="N92" s="174"/>
      <c r="O92" s="174"/>
      <c r="P92" s="174"/>
      <c r="Q92" s="174"/>
    </row>
    <row r="93" spans="1:20" s="17" customFormat="1" x14ac:dyDescent="0.25">
      <c r="A93" s="229"/>
      <c r="B93" s="55"/>
      <c r="C93" s="55"/>
      <c r="D93" s="176"/>
      <c r="E93" s="194"/>
      <c r="F93" s="174"/>
      <c r="G93" s="442"/>
      <c r="H93" s="205"/>
      <c r="I93" s="174"/>
      <c r="J93" s="201"/>
      <c r="K93" s="492"/>
      <c r="L93" s="491"/>
      <c r="M93" s="174"/>
      <c r="N93" s="174"/>
      <c r="O93" s="174"/>
      <c r="P93" s="174"/>
      <c r="Q93" s="174"/>
    </row>
    <row r="94" spans="1:20" s="17" customFormat="1" x14ac:dyDescent="0.25">
      <c r="A94" s="229"/>
      <c r="B94" s="55"/>
      <c r="C94" s="55"/>
      <c r="D94" s="176"/>
      <c r="E94" s="194"/>
      <c r="F94" s="174"/>
      <c r="G94" s="442"/>
      <c r="H94" s="205"/>
      <c r="I94" s="174"/>
      <c r="J94" s="201"/>
      <c r="K94" s="492"/>
      <c r="L94" s="491"/>
      <c r="M94" s="174"/>
      <c r="N94" s="174"/>
      <c r="O94" s="174"/>
      <c r="P94" s="174"/>
      <c r="Q94" s="174"/>
    </row>
    <row r="95" spans="1:20" s="17" customFormat="1" x14ac:dyDescent="0.25">
      <c r="A95" s="229"/>
      <c r="B95" s="55"/>
      <c r="C95" s="55"/>
      <c r="D95" s="176"/>
      <c r="E95" s="194"/>
      <c r="F95" s="174"/>
      <c r="G95" s="442"/>
      <c r="H95" s="205"/>
      <c r="I95" s="174"/>
      <c r="J95" s="201"/>
      <c r="K95" s="492"/>
      <c r="L95" s="491"/>
      <c r="M95" s="174"/>
      <c r="N95" s="174"/>
      <c r="O95" s="174"/>
      <c r="P95" s="174"/>
      <c r="Q95" s="174"/>
    </row>
    <row r="96" spans="1:20" s="17" customFormat="1" x14ac:dyDescent="0.25">
      <c r="A96" s="229"/>
      <c r="B96" s="55"/>
      <c r="C96" s="55"/>
      <c r="D96" s="176"/>
      <c r="E96" s="194"/>
      <c r="F96" s="174"/>
      <c r="G96" s="442"/>
      <c r="H96" s="205"/>
      <c r="I96" s="174"/>
      <c r="J96" s="201"/>
      <c r="K96" s="492"/>
      <c r="L96" s="491"/>
      <c r="M96" s="174"/>
      <c r="N96" s="174"/>
      <c r="O96" s="174"/>
      <c r="P96" s="174"/>
      <c r="Q96" s="174"/>
    </row>
    <row r="97" spans="1:17" s="17" customFormat="1" x14ac:dyDescent="0.25">
      <c r="A97" s="229"/>
      <c r="B97" s="55"/>
      <c r="C97" s="55"/>
      <c r="D97" s="176"/>
      <c r="E97" s="194"/>
      <c r="F97" s="174"/>
      <c r="G97" s="442"/>
      <c r="H97" s="205"/>
      <c r="I97" s="174"/>
      <c r="J97" s="201"/>
      <c r="K97" s="492"/>
      <c r="L97" s="491"/>
      <c r="M97" s="174"/>
      <c r="N97" s="174"/>
      <c r="O97" s="174"/>
      <c r="P97" s="174"/>
      <c r="Q97" s="174"/>
    </row>
    <row r="98" spans="1:17" s="17" customFormat="1" x14ac:dyDescent="0.25">
      <c r="A98" s="229"/>
      <c r="B98" s="55"/>
      <c r="C98" s="55"/>
      <c r="D98" s="176"/>
      <c r="E98" s="194"/>
      <c r="F98" s="174"/>
      <c r="G98" s="442"/>
      <c r="H98" s="205"/>
      <c r="I98" s="174"/>
      <c r="J98" s="201"/>
      <c r="K98" s="492"/>
      <c r="L98" s="491"/>
      <c r="M98" s="174"/>
      <c r="N98" s="174"/>
      <c r="O98" s="174"/>
      <c r="P98" s="174"/>
      <c r="Q98" s="174"/>
    </row>
    <row r="99" spans="1:17" s="17" customFormat="1" x14ac:dyDescent="0.25">
      <c r="A99" s="229"/>
      <c r="B99" s="55"/>
      <c r="C99" s="55"/>
      <c r="D99" s="176"/>
      <c r="E99" s="194"/>
      <c r="F99" s="174"/>
      <c r="G99" s="442"/>
      <c r="H99" s="205"/>
      <c r="I99" s="174"/>
      <c r="J99" s="201"/>
      <c r="K99" s="492"/>
      <c r="L99" s="491"/>
      <c r="M99" s="174"/>
      <c r="N99" s="174"/>
      <c r="O99" s="174"/>
      <c r="P99" s="174"/>
      <c r="Q99" s="174"/>
    </row>
    <row r="100" spans="1:17" s="17" customFormat="1" x14ac:dyDescent="0.25">
      <c r="A100" s="229"/>
      <c r="B100" s="55"/>
      <c r="C100" s="55"/>
      <c r="D100" s="176"/>
      <c r="E100" s="194"/>
      <c r="F100" s="174"/>
      <c r="G100" s="442"/>
      <c r="H100" s="205"/>
      <c r="I100" s="174"/>
      <c r="J100" s="201"/>
      <c r="K100" s="492"/>
      <c r="L100" s="491"/>
      <c r="M100" s="174"/>
      <c r="N100" s="174"/>
      <c r="O100" s="174"/>
      <c r="P100" s="174"/>
      <c r="Q100" s="174"/>
    </row>
    <row r="101" spans="1:17" s="17" customFormat="1" x14ac:dyDescent="0.25">
      <c r="A101" s="229"/>
      <c r="B101" s="55"/>
      <c r="C101" s="55"/>
      <c r="D101" s="176"/>
      <c r="E101" s="194"/>
      <c r="F101" s="174"/>
      <c r="G101" s="442"/>
      <c r="H101" s="205"/>
      <c r="I101" s="174"/>
      <c r="J101" s="201"/>
      <c r="K101" s="492"/>
      <c r="L101" s="491"/>
      <c r="M101" s="174"/>
      <c r="N101" s="174"/>
      <c r="O101" s="174"/>
      <c r="P101" s="174"/>
      <c r="Q101" s="174"/>
    </row>
    <row r="102" spans="1:17" s="17" customFormat="1" x14ac:dyDescent="0.25">
      <c r="A102" s="229"/>
      <c r="B102" s="55"/>
      <c r="C102" s="55"/>
      <c r="D102" s="176"/>
      <c r="E102" s="194"/>
      <c r="F102" s="174"/>
      <c r="G102" s="442"/>
      <c r="H102" s="205"/>
      <c r="I102" s="174"/>
      <c r="J102" s="201"/>
      <c r="K102" s="492"/>
      <c r="L102" s="491"/>
      <c r="M102" s="174"/>
      <c r="N102" s="174"/>
      <c r="O102" s="174"/>
      <c r="P102" s="174"/>
      <c r="Q102" s="174"/>
    </row>
    <row r="103" spans="1:17" s="17" customFormat="1" x14ac:dyDescent="0.25">
      <c r="A103" s="229"/>
      <c r="B103" s="55"/>
      <c r="C103" s="55"/>
      <c r="D103" s="176"/>
      <c r="E103" s="194"/>
      <c r="F103" s="174"/>
      <c r="G103" s="442"/>
      <c r="H103" s="205"/>
      <c r="I103" s="174"/>
      <c r="J103" s="201"/>
      <c r="K103" s="492"/>
      <c r="L103" s="491"/>
      <c r="M103" s="174"/>
      <c r="N103" s="174"/>
      <c r="O103" s="174"/>
      <c r="P103" s="174"/>
      <c r="Q103" s="174"/>
    </row>
    <row r="104" spans="1:17" s="17" customFormat="1" x14ac:dyDescent="0.25">
      <c r="A104" s="229"/>
      <c r="B104" s="55"/>
      <c r="C104" s="55"/>
      <c r="D104" s="176"/>
      <c r="E104" s="194"/>
      <c r="F104" s="174"/>
      <c r="G104" s="442"/>
      <c r="H104" s="205"/>
      <c r="I104" s="174"/>
      <c r="J104" s="201"/>
      <c r="K104" s="492"/>
      <c r="L104" s="491"/>
      <c r="M104" s="174"/>
      <c r="N104" s="174"/>
      <c r="O104" s="174"/>
      <c r="P104" s="174"/>
      <c r="Q104" s="174"/>
    </row>
    <row r="105" spans="1:17" s="17" customFormat="1" x14ac:dyDescent="0.25">
      <c r="A105" s="229"/>
      <c r="B105" s="55"/>
      <c r="C105" s="55"/>
      <c r="D105" s="176"/>
      <c r="E105" s="194"/>
      <c r="F105" s="174"/>
      <c r="G105" s="442"/>
      <c r="H105" s="205"/>
      <c r="I105" s="174"/>
      <c r="J105" s="201"/>
      <c r="K105" s="492"/>
      <c r="L105" s="491"/>
      <c r="M105" s="174"/>
      <c r="N105" s="174"/>
      <c r="O105" s="174"/>
      <c r="P105" s="174"/>
      <c r="Q105" s="174"/>
    </row>
    <row r="106" spans="1:17" s="17" customFormat="1" x14ac:dyDescent="0.25">
      <c r="A106" s="229"/>
      <c r="B106" s="55"/>
      <c r="C106" s="55"/>
      <c r="D106" s="176"/>
      <c r="E106" s="194"/>
      <c r="F106" s="174"/>
      <c r="G106" s="442"/>
      <c r="H106" s="205"/>
      <c r="I106" s="174"/>
      <c r="J106" s="201"/>
      <c r="K106" s="492"/>
      <c r="L106" s="491"/>
      <c r="M106" s="174"/>
      <c r="N106" s="174"/>
      <c r="O106" s="174"/>
      <c r="P106" s="174"/>
      <c r="Q106" s="174"/>
    </row>
    <row r="107" spans="1:17" s="17" customFormat="1" ht="12.75" customHeight="1" x14ac:dyDescent="0.25">
      <c r="A107" s="229"/>
      <c r="B107" s="55"/>
      <c r="C107" s="55"/>
      <c r="D107" s="176"/>
      <c r="E107" s="194"/>
      <c r="F107" s="174"/>
      <c r="G107" s="442"/>
      <c r="H107" s="205"/>
      <c r="I107" s="174"/>
      <c r="J107" s="201"/>
      <c r="K107" s="492"/>
      <c r="L107" s="491"/>
      <c r="M107" s="174"/>
      <c r="N107" s="174"/>
      <c r="O107" s="174"/>
      <c r="P107" s="174"/>
      <c r="Q107" s="174"/>
    </row>
    <row r="108" spans="1:17" s="17" customFormat="1" x14ac:dyDescent="0.25">
      <c r="A108" s="229"/>
      <c r="B108" s="55"/>
      <c r="C108" s="55"/>
      <c r="D108" s="176"/>
      <c r="E108" s="194"/>
      <c r="F108" s="174"/>
      <c r="G108" s="442"/>
      <c r="H108" s="205"/>
      <c r="I108" s="174"/>
      <c r="J108" s="201"/>
      <c r="K108" s="492"/>
      <c r="L108" s="491"/>
      <c r="M108" s="174"/>
      <c r="N108" s="174"/>
      <c r="O108" s="174"/>
      <c r="P108" s="174"/>
      <c r="Q108" s="174"/>
    </row>
    <row r="109" spans="1:17" s="17" customFormat="1" x14ac:dyDescent="0.25">
      <c r="A109" s="229"/>
      <c r="B109" s="55"/>
      <c r="C109" s="55"/>
      <c r="D109" s="176"/>
      <c r="E109" s="194"/>
      <c r="F109" s="174"/>
      <c r="G109" s="442"/>
      <c r="H109" s="205"/>
      <c r="I109" s="174"/>
      <c r="J109" s="201"/>
      <c r="K109" s="492"/>
      <c r="L109" s="491"/>
      <c r="M109" s="174"/>
      <c r="N109" s="174"/>
      <c r="O109" s="174"/>
      <c r="P109" s="174"/>
      <c r="Q109" s="174"/>
    </row>
    <row r="110" spans="1:17" s="17" customFormat="1" x14ac:dyDescent="0.25">
      <c r="A110" s="229"/>
      <c r="B110" s="55"/>
      <c r="C110" s="55"/>
      <c r="D110" s="176"/>
      <c r="E110" s="194"/>
      <c r="F110" s="174"/>
      <c r="G110" s="442"/>
      <c r="H110" s="205"/>
      <c r="I110" s="174"/>
      <c r="J110" s="201"/>
      <c r="K110" s="492"/>
      <c r="L110" s="491"/>
      <c r="M110" s="174"/>
      <c r="N110" s="174"/>
      <c r="O110" s="174"/>
      <c r="P110" s="174"/>
      <c r="Q110" s="174"/>
    </row>
    <row r="111" spans="1:17" s="17" customFormat="1" x14ac:dyDescent="0.25">
      <c r="A111" s="229"/>
      <c r="B111" s="55"/>
      <c r="C111" s="55"/>
      <c r="D111" s="176"/>
      <c r="E111" s="194"/>
      <c r="F111" s="174"/>
      <c r="G111" s="442"/>
      <c r="H111" s="205"/>
      <c r="I111" s="174"/>
      <c r="J111" s="201"/>
      <c r="K111" s="492"/>
      <c r="L111" s="491"/>
      <c r="M111" s="174"/>
      <c r="N111" s="174"/>
      <c r="O111" s="174"/>
      <c r="P111" s="174"/>
      <c r="Q111" s="174"/>
    </row>
    <row r="112" spans="1:17" s="17" customFormat="1" x14ac:dyDescent="0.25">
      <c r="A112" s="229"/>
      <c r="B112" s="55"/>
      <c r="C112" s="55"/>
      <c r="D112" s="176"/>
      <c r="E112" s="194"/>
      <c r="F112" s="174"/>
      <c r="G112" s="442"/>
      <c r="H112" s="205"/>
      <c r="I112" s="174"/>
      <c r="J112" s="201"/>
      <c r="K112" s="492"/>
      <c r="L112" s="491"/>
      <c r="M112" s="174"/>
      <c r="N112" s="174"/>
      <c r="O112" s="174"/>
      <c r="P112" s="174"/>
      <c r="Q112" s="174"/>
    </row>
    <row r="113" spans="1:17" s="17" customFormat="1" x14ac:dyDescent="0.25">
      <c r="A113" s="229"/>
      <c r="B113" s="55"/>
      <c r="C113" s="55"/>
      <c r="D113" s="176"/>
      <c r="E113" s="194"/>
      <c r="F113" s="174"/>
      <c r="G113" s="442"/>
      <c r="H113" s="205"/>
      <c r="I113" s="174"/>
      <c r="J113" s="201"/>
      <c r="K113" s="492"/>
      <c r="L113" s="491"/>
      <c r="M113" s="174"/>
      <c r="N113" s="174"/>
      <c r="O113" s="174"/>
      <c r="P113" s="174"/>
      <c r="Q113" s="174"/>
    </row>
    <row r="114" spans="1:17" s="17" customFormat="1" x14ac:dyDescent="0.25">
      <c r="A114" s="229"/>
      <c r="B114" s="55"/>
      <c r="C114" s="55"/>
      <c r="D114" s="176"/>
      <c r="E114" s="194"/>
      <c r="F114" s="174"/>
      <c r="G114" s="442"/>
      <c r="H114" s="205"/>
      <c r="I114" s="174"/>
      <c r="J114" s="201"/>
      <c r="K114" s="492"/>
      <c r="L114" s="491"/>
      <c r="M114" s="174"/>
      <c r="N114" s="174"/>
      <c r="O114" s="174"/>
      <c r="P114" s="174"/>
      <c r="Q114" s="174"/>
    </row>
    <row r="115" spans="1:17" s="17" customFormat="1" x14ac:dyDescent="0.25">
      <c r="A115" s="229"/>
      <c r="B115" s="55"/>
      <c r="C115" s="55"/>
      <c r="D115" s="176"/>
      <c r="E115" s="194"/>
      <c r="F115" s="174"/>
      <c r="G115" s="442"/>
      <c r="H115" s="205"/>
      <c r="I115" s="174"/>
      <c r="J115" s="201"/>
      <c r="K115" s="492"/>
      <c r="L115" s="491"/>
      <c r="M115" s="174"/>
      <c r="N115" s="174"/>
      <c r="O115" s="174"/>
      <c r="P115" s="174"/>
      <c r="Q115" s="174"/>
    </row>
    <row r="116" spans="1:17" s="17" customFormat="1" x14ac:dyDescent="0.25">
      <c r="A116" s="229"/>
      <c r="B116" s="55"/>
      <c r="C116" s="55"/>
      <c r="D116" s="176"/>
      <c r="E116" s="194"/>
      <c r="F116" s="174"/>
      <c r="G116" s="442"/>
      <c r="H116" s="205"/>
      <c r="I116" s="174"/>
      <c r="J116" s="201"/>
      <c r="K116" s="492"/>
      <c r="L116" s="491"/>
      <c r="M116" s="174"/>
      <c r="N116" s="174"/>
      <c r="O116" s="174"/>
      <c r="P116" s="174"/>
      <c r="Q116" s="174"/>
    </row>
    <row r="117" spans="1:17" s="17" customFormat="1" x14ac:dyDescent="0.25">
      <c r="A117" s="229"/>
      <c r="B117" s="55"/>
      <c r="C117" s="55"/>
      <c r="D117" s="176"/>
      <c r="E117" s="194"/>
      <c r="F117" s="174"/>
      <c r="G117" s="442"/>
      <c r="H117" s="205"/>
      <c r="I117" s="174"/>
      <c r="J117" s="201"/>
      <c r="K117" s="492"/>
      <c r="L117" s="491"/>
      <c r="M117" s="174"/>
      <c r="N117" s="174"/>
      <c r="O117" s="174"/>
      <c r="P117" s="174"/>
      <c r="Q117" s="174"/>
    </row>
    <row r="118" spans="1:17" s="17" customFormat="1" x14ac:dyDescent="0.25">
      <c r="A118" s="229"/>
      <c r="B118" s="55"/>
      <c r="C118" s="55"/>
      <c r="D118" s="176"/>
      <c r="E118" s="194"/>
      <c r="F118" s="174"/>
      <c r="G118" s="288"/>
      <c r="H118" s="205"/>
      <c r="I118" s="174"/>
      <c r="J118" s="201"/>
      <c r="K118" s="492"/>
      <c r="L118" s="491"/>
      <c r="M118" s="174"/>
      <c r="N118" s="174"/>
      <c r="O118" s="174"/>
      <c r="P118" s="174"/>
      <c r="Q118" s="174"/>
    </row>
    <row r="119" spans="1:17" s="17" customFormat="1" x14ac:dyDescent="0.25">
      <c r="A119" s="229"/>
      <c r="B119" s="55"/>
      <c r="C119" s="55"/>
      <c r="D119" s="176"/>
      <c r="E119" s="194"/>
      <c r="F119" s="174"/>
      <c r="G119" s="288"/>
      <c r="H119" s="205"/>
      <c r="I119" s="174"/>
      <c r="J119" s="201"/>
      <c r="K119" s="492"/>
      <c r="L119" s="491"/>
      <c r="M119" s="174"/>
      <c r="N119" s="174"/>
      <c r="O119" s="174"/>
      <c r="P119" s="174"/>
      <c r="Q119" s="174"/>
    </row>
    <row r="120" spans="1:17" s="17" customFormat="1" x14ac:dyDescent="0.25">
      <c r="A120" s="229"/>
      <c r="B120" s="55"/>
      <c r="C120" s="55"/>
      <c r="D120" s="176"/>
      <c r="E120" s="194"/>
      <c r="F120" s="174"/>
      <c r="G120" s="288"/>
      <c r="H120" s="205"/>
      <c r="I120" s="174"/>
      <c r="J120" s="201"/>
      <c r="K120" s="492"/>
      <c r="L120" s="491"/>
      <c r="M120" s="174"/>
      <c r="N120" s="174"/>
      <c r="O120" s="174"/>
      <c r="P120" s="174"/>
      <c r="Q120" s="174"/>
    </row>
    <row r="121" spans="1:17" s="17" customFormat="1" x14ac:dyDescent="0.25">
      <c r="A121" s="229"/>
      <c r="B121" s="55"/>
      <c r="C121" s="55"/>
      <c r="D121" s="176"/>
      <c r="E121" s="194"/>
      <c r="F121" s="174"/>
      <c r="G121" s="288"/>
      <c r="H121" s="205"/>
      <c r="I121" s="174"/>
      <c r="J121" s="201"/>
      <c r="K121" s="492"/>
      <c r="L121" s="491"/>
      <c r="M121" s="174"/>
      <c r="N121" s="174"/>
      <c r="O121" s="174"/>
      <c r="P121" s="174"/>
      <c r="Q121" s="174"/>
    </row>
    <row r="122" spans="1:17" s="17" customFormat="1" x14ac:dyDescent="0.25">
      <c r="A122" s="229"/>
      <c r="B122" s="55"/>
      <c r="C122" s="55"/>
      <c r="D122" s="176"/>
      <c r="E122" s="194"/>
      <c r="F122" s="174"/>
      <c r="G122" s="288"/>
      <c r="H122" s="205"/>
      <c r="I122" s="174"/>
      <c r="J122" s="201"/>
      <c r="K122" s="492"/>
      <c r="L122" s="491"/>
      <c r="M122" s="174"/>
      <c r="N122" s="174"/>
      <c r="O122" s="174"/>
      <c r="P122" s="174"/>
      <c r="Q122" s="174"/>
    </row>
    <row r="123" spans="1:17" s="17" customFormat="1" x14ac:dyDescent="0.25">
      <c r="A123" s="229"/>
      <c r="B123" s="55"/>
      <c r="C123" s="55"/>
      <c r="D123" s="176"/>
      <c r="E123" s="194"/>
      <c r="F123" s="174"/>
      <c r="G123" s="288"/>
      <c r="H123" s="205"/>
      <c r="I123" s="174"/>
      <c r="J123" s="201"/>
      <c r="K123" s="492"/>
      <c r="L123" s="491"/>
      <c r="M123" s="174"/>
      <c r="N123" s="174"/>
      <c r="O123" s="174"/>
      <c r="P123" s="174"/>
      <c r="Q123" s="174"/>
    </row>
    <row r="124" spans="1:17" s="17" customFormat="1" x14ac:dyDescent="0.25">
      <c r="A124" s="229"/>
      <c r="B124" s="55"/>
      <c r="C124" s="55"/>
      <c r="D124" s="176"/>
      <c r="E124" s="194"/>
      <c r="F124" s="174"/>
      <c r="G124" s="288"/>
      <c r="H124" s="205"/>
      <c r="I124" s="174"/>
      <c r="J124" s="201"/>
      <c r="K124" s="492"/>
      <c r="L124" s="491"/>
      <c r="M124" s="174"/>
      <c r="N124" s="174"/>
      <c r="O124" s="174"/>
      <c r="P124" s="174"/>
      <c r="Q124" s="174"/>
    </row>
    <row r="125" spans="1:17" s="17" customFormat="1" x14ac:dyDescent="0.25">
      <c r="A125" s="229"/>
      <c r="B125" s="55"/>
      <c r="C125" s="55"/>
      <c r="D125" s="176"/>
      <c r="E125" s="194"/>
      <c r="F125" s="174"/>
      <c r="G125" s="288"/>
      <c r="H125" s="205"/>
      <c r="I125" s="174"/>
      <c r="J125" s="201"/>
      <c r="K125" s="492"/>
      <c r="L125" s="491"/>
      <c r="M125" s="174"/>
      <c r="N125" s="174"/>
      <c r="O125" s="174"/>
      <c r="P125" s="174"/>
      <c r="Q125" s="174"/>
    </row>
    <row r="126" spans="1:17" s="17" customFormat="1" x14ac:dyDescent="0.25">
      <c r="A126" s="229"/>
      <c r="B126" s="55"/>
      <c r="C126" s="55"/>
      <c r="D126" s="176"/>
      <c r="E126" s="194"/>
      <c r="F126" s="174"/>
      <c r="G126" s="288"/>
      <c r="H126" s="205"/>
      <c r="I126" s="174"/>
      <c r="J126" s="201"/>
      <c r="K126" s="492"/>
      <c r="L126" s="491"/>
      <c r="M126" s="174"/>
      <c r="N126" s="174"/>
      <c r="O126" s="174"/>
      <c r="P126" s="174"/>
      <c r="Q126" s="174"/>
    </row>
    <row r="127" spans="1:17" s="17" customFormat="1" x14ac:dyDescent="0.25">
      <c r="A127" s="229"/>
      <c r="B127" s="55"/>
      <c r="C127" s="55"/>
      <c r="D127" s="176"/>
      <c r="E127" s="194"/>
      <c r="F127" s="174"/>
      <c r="G127" s="288"/>
      <c r="H127" s="205"/>
      <c r="I127" s="174"/>
      <c r="J127" s="201"/>
      <c r="K127" s="492"/>
      <c r="L127" s="491"/>
      <c r="M127" s="174"/>
      <c r="N127" s="174"/>
      <c r="O127" s="174"/>
      <c r="P127" s="174"/>
      <c r="Q127" s="174"/>
    </row>
    <row r="128" spans="1:17" s="17" customFormat="1" x14ac:dyDescent="0.25">
      <c r="A128" s="229"/>
      <c r="B128" s="55"/>
      <c r="C128" s="55"/>
      <c r="D128" s="176"/>
      <c r="E128" s="194"/>
      <c r="F128" s="174"/>
      <c r="G128" s="288"/>
      <c r="H128" s="205"/>
      <c r="I128" s="174"/>
      <c r="J128" s="201"/>
      <c r="K128" s="492"/>
      <c r="L128" s="491"/>
      <c r="M128" s="174"/>
      <c r="N128" s="174"/>
      <c r="O128" s="174"/>
      <c r="P128" s="174"/>
      <c r="Q128" s="174"/>
    </row>
    <row r="129" spans="1:17" s="17" customFormat="1" x14ac:dyDescent="0.25">
      <c r="A129" s="229"/>
      <c r="B129" s="55"/>
      <c r="C129" s="55"/>
      <c r="D129" s="176"/>
      <c r="E129" s="194"/>
      <c r="F129" s="174"/>
      <c r="G129" s="288"/>
      <c r="H129" s="205"/>
      <c r="I129" s="174"/>
      <c r="J129" s="201"/>
      <c r="K129" s="492"/>
      <c r="L129" s="491"/>
      <c r="M129" s="174"/>
      <c r="N129" s="174"/>
      <c r="O129" s="174"/>
      <c r="P129" s="174"/>
      <c r="Q129" s="174"/>
    </row>
    <row r="130" spans="1:17" s="17" customFormat="1" x14ac:dyDescent="0.25">
      <c r="A130" s="229"/>
      <c r="B130" s="55"/>
      <c r="C130" s="55"/>
      <c r="D130" s="176"/>
      <c r="E130" s="194"/>
      <c r="F130" s="174"/>
      <c r="G130" s="288"/>
      <c r="H130" s="205"/>
      <c r="I130" s="174"/>
      <c r="J130" s="201"/>
      <c r="K130" s="492"/>
      <c r="L130" s="491"/>
      <c r="M130" s="174"/>
      <c r="N130" s="174"/>
      <c r="O130" s="174"/>
      <c r="P130" s="174"/>
      <c r="Q130" s="174"/>
    </row>
    <row r="131" spans="1:17" s="17" customFormat="1" x14ac:dyDescent="0.25">
      <c r="A131" s="229"/>
      <c r="B131" s="55"/>
      <c r="C131" s="55"/>
      <c r="D131" s="176"/>
      <c r="E131" s="194"/>
      <c r="F131" s="174"/>
      <c r="G131" s="288"/>
      <c r="H131" s="205"/>
      <c r="I131" s="174"/>
      <c r="J131" s="201"/>
      <c r="K131" s="492"/>
      <c r="L131" s="491"/>
      <c r="M131" s="174"/>
      <c r="N131" s="174"/>
      <c r="O131" s="174"/>
      <c r="P131" s="174"/>
      <c r="Q131" s="174"/>
    </row>
    <row r="132" spans="1:17" s="17" customFormat="1" x14ac:dyDescent="0.25">
      <c r="A132" s="229"/>
      <c r="B132" s="55"/>
      <c r="C132" s="55"/>
      <c r="D132" s="176"/>
      <c r="E132" s="194"/>
      <c r="F132" s="174"/>
      <c r="G132" s="288"/>
      <c r="H132" s="205"/>
      <c r="I132" s="174"/>
      <c r="J132" s="201"/>
      <c r="K132" s="492"/>
      <c r="L132" s="491"/>
      <c r="M132" s="174"/>
      <c r="N132" s="174"/>
      <c r="O132" s="174"/>
      <c r="P132" s="174"/>
      <c r="Q132" s="174"/>
    </row>
    <row r="133" spans="1:17" s="17" customFormat="1" x14ac:dyDescent="0.25">
      <c r="A133" s="229"/>
      <c r="B133" s="55"/>
      <c r="C133" s="55"/>
      <c r="D133" s="176"/>
      <c r="E133" s="194"/>
      <c r="F133" s="174"/>
      <c r="G133" s="288"/>
      <c r="H133" s="205"/>
      <c r="I133" s="174"/>
      <c r="J133" s="201"/>
      <c r="K133" s="492"/>
      <c r="L133" s="491"/>
      <c r="M133" s="174"/>
      <c r="N133" s="174"/>
      <c r="O133" s="174"/>
      <c r="P133" s="174"/>
      <c r="Q133" s="174"/>
    </row>
    <row r="134" spans="1:17" s="17" customFormat="1" x14ac:dyDescent="0.25">
      <c r="A134" s="229"/>
      <c r="B134" s="55"/>
      <c r="C134" s="55"/>
      <c r="D134" s="176"/>
      <c r="E134" s="194"/>
      <c r="F134" s="174"/>
      <c r="G134" s="288"/>
      <c r="H134" s="205"/>
      <c r="I134" s="174"/>
      <c r="J134" s="201"/>
      <c r="K134" s="492"/>
      <c r="L134" s="491"/>
      <c r="M134" s="174"/>
      <c r="N134" s="174"/>
      <c r="O134" s="174"/>
      <c r="P134" s="174"/>
      <c r="Q134" s="174"/>
    </row>
    <row r="135" spans="1:17" s="17" customFormat="1" x14ac:dyDescent="0.25">
      <c r="A135" s="229"/>
      <c r="B135" s="55"/>
      <c r="C135" s="55"/>
      <c r="D135" s="176"/>
      <c r="E135" s="194"/>
      <c r="F135" s="174"/>
      <c r="G135" s="288"/>
      <c r="H135" s="205"/>
      <c r="I135" s="174"/>
      <c r="J135" s="201"/>
      <c r="K135" s="492"/>
      <c r="L135" s="491"/>
      <c r="M135" s="174"/>
      <c r="N135" s="174"/>
      <c r="O135" s="174"/>
      <c r="P135" s="174"/>
      <c r="Q135" s="174"/>
    </row>
    <row r="136" spans="1:17" s="17" customFormat="1" x14ac:dyDescent="0.25">
      <c r="A136" s="229"/>
      <c r="B136" s="55"/>
      <c r="C136" s="55"/>
      <c r="D136" s="176"/>
      <c r="E136" s="194"/>
      <c r="F136" s="174"/>
      <c r="G136" s="288"/>
      <c r="H136" s="205"/>
      <c r="I136" s="174"/>
      <c r="J136" s="201"/>
      <c r="K136" s="492"/>
      <c r="L136" s="491"/>
      <c r="M136" s="174"/>
      <c r="N136" s="174"/>
      <c r="O136" s="174"/>
      <c r="P136" s="174"/>
      <c r="Q136" s="174"/>
    </row>
    <row r="137" spans="1:17" s="17" customFormat="1" x14ac:dyDescent="0.25">
      <c r="A137" s="229"/>
      <c r="B137" s="55"/>
      <c r="C137" s="55"/>
      <c r="D137" s="176"/>
      <c r="E137" s="194"/>
      <c r="F137" s="174"/>
      <c r="G137" s="288"/>
      <c r="H137" s="205"/>
      <c r="I137" s="174"/>
      <c r="J137" s="201"/>
      <c r="K137" s="492"/>
      <c r="L137" s="491"/>
      <c r="M137" s="174"/>
      <c r="N137" s="174"/>
      <c r="O137" s="174"/>
      <c r="P137" s="174"/>
      <c r="Q137" s="174"/>
    </row>
    <row r="138" spans="1:17" s="17" customFormat="1" x14ac:dyDescent="0.25">
      <c r="A138" s="229"/>
      <c r="B138" s="55"/>
      <c r="C138" s="55"/>
      <c r="D138" s="176"/>
      <c r="E138" s="194"/>
      <c r="F138" s="174"/>
      <c r="G138" s="288"/>
      <c r="H138" s="205"/>
      <c r="I138" s="174"/>
      <c r="J138" s="201"/>
      <c r="K138" s="492"/>
      <c r="L138" s="491"/>
      <c r="M138" s="174"/>
      <c r="N138" s="174"/>
      <c r="O138" s="174"/>
      <c r="P138" s="174"/>
      <c r="Q138" s="174"/>
    </row>
    <row r="139" spans="1:17" s="17" customFormat="1" x14ac:dyDescent="0.25">
      <c r="A139" s="229"/>
      <c r="B139" s="55"/>
      <c r="C139" s="55"/>
      <c r="D139" s="176"/>
      <c r="E139" s="194"/>
      <c r="F139" s="174"/>
      <c r="G139" s="288"/>
      <c r="H139" s="205"/>
      <c r="I139" s="174"/>
      <c r="J139" s="201"/>
      <c r="K139" s="492"/>
      <c r="L139" s="491"/>
      <c r="M139" s="174"/>
      <c r="N139" s="174"/>
      <c r="O139" s="174"/>
      <c r="P139" s="174"/>
      <c r="Q139" s="174"/>
    </row>
    <row r="140" spans="1:17" s="17" customFormat="1" x14ac:dyDescent="0.25">
      <c r="A140" s="229"/>
      <c r="B140" s="55"/>
      <c r="C140" s="55"/>
      <c r="D140" s="176"/>
      <c r="E140" s="194"/>
      <c r="F140" s="174"/>
      <c r="G140" s="288"/>
      <c r="H140" s="205"/>
      <c r="I140" s="174"/>
      <c r="J140" s="201"/>
      <c r="K140" s="492"/>
      <c r="L140" s="491"/>
      <c r="M140" s="174"/>
      <c r="N140" s="174"/>
      <c r="O140" s="174"/>
      <c r="P140" s="174"/>
      <c r="Q140" s="174"/>
    </row>
    <row r="141" spans="1:17" s="17" customFormat="1" x14ac:dyDescent="0.25">
      <c r="A141" s="229"/>
      <c r="B141" s="55"/>
      <c r="C141" s="55"/>
      <c r="D141" s="176"/>
      <c r="E141" s="194"/>
      <c r="F141" s="174"/>
      <c r="G141" s="288"/>
      <c r="H141" s="205"/>
      <c r="I141" s="174"/>
      <c r="J141" s="201"/>
      <c r="K141" s="492"/>
      <c r="L141" s="491"/>
      <c r="M141" s="174"/>
      <c r="N141" s="174"/>
      <c r="O141" s="174"/>
      <c r="P141" s="174"/>
      <c r="Q141" s="174"/>
    </row>
    <row r="142" spans="1:17" s="17" customFormat="1" x14ac:dyDescent="0.25">
      <c r="A142" s="229"/>
      <c r="B142" s="55"/>
      <c r="C142" s="55"/>
      <c r="D142" s="176"/>
      <c r="E142" s="194"/>
      <c r="F142" s="174"/>
      <c r="G142" s="288"/>
      <c r="H142" s="205"/>
      <c r="I142" s="174"/>
      <c r="J142" s="201"/>
      <c r="K142" s="492"/>
      <c r="L142" s="491"/>
      <c r="M142" s="174"/>
      <c r="N142" s="174"/>
      <c r="O142" s="174"/>
      <c r="P142" s="174"/>
      <c r="Q142" s="174"/>
    </row>
    <row r="143" spans="1:17" s="17" customFormat="1" x14ac:dyDescent="0.25">
      <c r="A143" s="229"/>
      <c r="B143" s="55"/>
      <c r="C143" s="55"/>
      <c r="D143" s="176"/>
      <c r="E143" s="194"/>
      <c r="F143" s="174"/>
      <c r="G143" s="288"/>
      <c r="H143" s="205"/>
      <c r="I143" s="174"/>
      <c r="J143" s="201"/>
      <c r="K143" s="492"/>
      <c r="L143" s="491"/>
      <c r="M143" s="174"/>
      <c r="N143" s="174"/>
      <c r="O143" s="174"/>
      <c r="P143" s="174"/>
      <c r="Q143" s="174"/>
    </row>
    <row r="144" spans="1:17" s="17" customFormat="1" x14ac:dyDescent="0.25">
      <c r="A144" s="229"/>
      <c r="B144" s="55"/>
      <c r="C144" s="55"/>
      <c r="D144" s="176"/>
      <c r="E144" s="194"/>
      <c r="F144" s="174"/>
      <c r="G144" s="288"/>
      <c r="H144" s="205"/>
      <c r="I144" s="174"/>
      <c r="J144" s="201"/>
      <c r="K144" s="492"/>
      <c r="L144" s="491"/>
      <c r="M144" s="174"/>
      <c r="N144" s="174"/>
      <c r="O144" s="174"/>
      <c r="P144" s="174"/>
      <c r="Q144" s="174"/>
    </row>
    <row r="145" spans="1:17" s="17" customFormat="1" x14ac:dyDescent="0.25">
      <c r="A145" s="229"/>
      <c r="B145" s="55"/>
      <c r="C145" s="55"/>
      <c r="D145" s="176"/>
      <c r="E145" s="194"/>
      <c r="F145" s="174"/>
      <c r="G145" s="288"/>
      <c r="H145" s="205"/>
      <c r="I145" s="174"/>
      <c r="J145" s="201"/>
      <c r="K145" s="492"/>
      <c r="L145" s="491"/>
      <c r="M145" s="174"/>
      <c r="N145" s="174"/>
      <c r="O145" s="174"/>
      <c r="P145" s="174"/>
      <c r="Q145" s="174"/>
    </row>
    <row r="146" spans="1:17" s="17" customFormat="1" x14ac:dyDescent="0.25">
      <c r="A146" s="229"/>
      <c r="B146" s="55"/>
      <c r="C146" s="55"/>
      <c r="D146" s="176"/>
      <c r="E146" s="194"/>
      <c r="F146" s="174"/>
      <c r="G146" s="288"/>
      <c r="H146" s="205"/>
      <c r="I146" s="174"/>
      <c r="J146" s="201"/>
      <c r="K146" s="492"/>
      <c r="L146" s="491"/>
      <c r="M146" s="174"/>
      <c r="N146" s="174"/>
      <c r="O146" s="174"/>
      <c r="P146" s="174"/>
      <c r="Q146" s="174"/>
    </row>
    <row r="147" spans="1:17" s="17" customFormat="1" x14ac:dyDescent="0.25">
      <c r="A147" s="229"/>
      <c r="B147" s="55"/>
      <c r="C147" s="55"/>
      <c r="D147" s="176"/>
      <c r="E147" s="194"/>
      <c r="F147" s="174"/>
      <c r="G147" s="288"/>
      <c r="H147" s="205"/>
      <c r="I147" s="174"/>
      <c r="J147" s="201"/>
      <c r="K147" s="492"/>
      <c r="L147" s="491"/>
      <c r="M147" s="174"/>
      <c r="N147" s="174"/>
      <c r="O147" s="174"/>
      <c r="P147" s="174"/>
      <c r="Q147" s="174"/>
    </row>
    <row r="148" spans="1:17" s="17" customFormat="1" x14ac:dyDescent="0.25">
      <c r="A148" s="229"/>
      <c r="B148" s="55"/>
      <c r="C148" s="55"/>
      <c r="D148" s="176"/>
      <c r="E148" s="194"/>
      <c r="F148" s="174"/>
      <c r="G148" s="288"/>
      <c r="H148" s="205"/>
      <c r="I148" s="174"/>
      <c r="J148" s="201"/>
      <c r="K148" s="492"/>
      <c r="L148" s="491"/>
      <c r="M148" s="174"/>
      <c r="N148" s="174"/>
      <c r="O148" s="174"/>
      <c r="P148" s="174"/>
      <c r="Q148" s="174"/>
    </row>
    <row r="149" spans="1:17" s="17" customFormat="1" x14ac:dyDescent="0.25">
      <c r="A149" s="229"/>
      <c r="B149" s="55"/>
      <c r="C149" s="55"/>
      <c r="D149" s="176"/>
      <c r="E149" s="194"/>
      <c r="F149" s="174"/>
      <c r="G149" s="288"/>
      <c r="H149" s="205"/>
      <c r="I149" s="174"/>
      <c r="J149" s="201"/>
      <c r="K149" s="492"/>
      <c r="L149" s="491"/>
      <c r="M149" s="174"/>
      <c r="N149" s="174"/>
      <c r="O149" s="174"/>
      <c r="P149" s="174"/>
      <c r="Q149" s="174"/>
    </row>
    <row r="150" spans="1:17" s="17" customFormat="1" x14ac:dyDescent="0.25">
      <c r="A150" s="229"/>
      <c r="B150" s="55"/>
      <c r="C150" s="55"/>
      <c r="D150" s="176"/>
      <c r="E150" s="194"/>
      <c r="F150" s="174"/>
      <c r="G150" s="288"/>
      <c r="H150" s="205"/>
      <c r="I150" s="174"/>
      <c r="J150" s="201"/>
      <c r="K150" s="492"/>
      <c r="L150" s="491"/>
      <c r="M150" s="174"/>
      <c r="N150" s="174"/>
      <c r="O150" s="174"/>
      <c r="P150" s="174"/>
      <c r="Q150" s="174"/>
    </row>
    <row r="151" spans="1:17" s="17" customFormat="1" x14ac:dyDescent="0.25">
      <c r="A151" s="229"/>
      <c r="B151" s="55"/>
      <c r="C151" s="55"/>
      <c r="D151" s="176"/>
      <c r="E151" s="194"/>
      <c r="F151" s="174"/>
      <c r="G151" s="288"/>
      <c r="H151" s="205"/>
      <c r="I151" s="174"/>
      <c r="J151" s="201"/>
      <c r="K151" s="492"/>
      <c r="L151" s="491"/>
      <c r="M151" s="174"/>
      <c r="N151" s="174"/>
      <c r="O151" s="174"/>
      <c r="P151" s="174"/>
      <c r="Q151" s="174"/>
    </row>
    <row r="152" spans="1:17" s="17" customFormat="1" x14ac:dyDescent="0.25">
      <c r="A152" s="229"/>
      <c r="B152" s="55"/>
      <c r="C152" s="55"/>
      <c r="D152" s="176"/>
      <c r="E152" s="194"/>
      <c r="F152" s="174"/>
      <c r="G152" s="288"/>
      <c r="H152" s="205"/>
      <c r="I152" s="174"/>
      <c r="J152" s="201"/>
      <c r="K152" s="492"/>
      <c r="L152" s="491"/>
      <c r="M152" s="174"/>
      <c r="N152" s="174"/>
      <c r="O152" s="174"/>
      <c r="P152" s="174"/>
      <c r="Q152" s="174"/>
    </row>
    <row r="153" spans="1:17" s="17" customFormat="1" x14ac:dyDescent="0.25">
      <c r="A153" s="229"/>
      <c r="B153" s="55"/>
      <c r="C153" s="55"/>
      <c r="D153" s="176"/>
      <c r="E153" s="194"/>
      <c r="F153" s="174"/>
      <c r="G153" s="288"/>
      <c r="H153" s="205"/>
      <c r="I153" s="174"/>
      <c r="J153" s="201"/>
      <c r="K153" s="492"/>
      <c r="L153" s="491"/>
      <c r="M153" s="174"/>
      <c r="N153" s="174"/>
      <c r="O153" s="174"/>
      <c r="P153" s="174"/>
      <c r="Q153" s="174"/>
    </row>
    <row r="154" spans="1:17" s="17" customFormat="1" x14ac:dyDescent="0.25">
      <c r="A154" s="229"/>
      <c r="B154" s="55"/>
      <c r="C154" s="55"/>
      <c r="D154" s="176"/>
      <c r="E154" s="194"/>
      <c r="F154" s="174"/>
      <c r="G154" s="288"/>
      <c r="H154" s="205"/>
      <c r="I154" s="174"/>
      <c r="J154" s="201"/>
      <c r="K154" s="492"/>
      <c r="L154" s="491"/>
      <c r="M154" s="174"/>
      <c r="N154" s="174"/>
      <c r="O154" s="174"/>
      <c r="P154" s="174"/>
      <c r="Q154" s="174"/>
    </row>
    <row r="155" spans="1:17" s="17" customFormat="1" x14ac:dyDescent="0.25">
      <c r="A155" s="229"/>
      <c r="B155" s="55"/>
      <c r="C155" s="55"/>
      <c r="D155" s="176"/>
      <c r="E155" s="194"/>
      <c r="F155" s="174"/>
      <c r="G155" s="288"/>
      <c r="H155" s="205"/>
      <c r="I155" s="174"/>
      <c r="J155" s="493"/>
      <c r="K155" s="494"/>
      <c r="L155" s="491"/>
      <c r="M155" s="174"/>
      <c r="N155" s="174"/>
      <c r="O155" s="174"/>
      <c r="P155" s="174"/>
      <c r="Q155" s="174"/>
    </row>
    <row r="156" spans="1:17" s="17" customFormat="1" x14ac:dyDescent="0.25">
      <c r="A156" s="229"/>
      <c r="B156" s="55"/>
      <c r="C156" s="55"/>
      <c r="D156" s="176"/>
      <c r="E156" s="194"/>
      <c r="F156" s="174"/>
      <c r="G156" s="288"/>
      <c r="H156" s="205"/>
      <c r="I156" s="174"/>
      <c r="J156" s="493"/>
      <c r="K156" s="494"/>
      <c r="L156" s="491"/>
      <c r="M156" s="174"/>
      <c r="N156" s="174"/>
      <c r="O156" s="174"/>
      <c r="P156" s="174"/>
      <c r="Q156" s="174"/>
    </row>
    <row r="157" spans="1:17" s="17" customFormat="1" x14ac:dyDescent="0.25">
      <c r="A157" s="229"/>
      <c r="B157" s="55"/>
      <c r="C157" s="55"/>
      <c r="D157" s="176"/>
      <c r="E157" s="194"/>
      <c r="F157" s="174"/>
      <c r="G157" s="288"/>
      <c r="H157" s="205"/>
      <c r="I157" s="174"/>
      <c r="J157" s="493"/>
      <c r="K157" s="494"/>
      <c r="L157" s="491"/>
      <c r="M157" s="174"/>
      <c r="N157" s="174"/>
      <c r="O157" s="174"/>
      <c r="P157" s="174"/>
      <c r="Q157" s="174"/>
    </row>
    <row r="158" spans="1:17" s="17" customFormat="1" x14ac:dyDescent="0.25">
      <c r="A158" s="229"/>
      <c r="B158" s="55"/>
      <c r="C158" s="55"/>
      <c r="D158" s="176"/>
      <c r="E158" s="194"/>
      <c r="F158" s="174"/>
      <c r="G158" s="288"/>
      <c r="H158" s="205"/>
      <c r="I158" s="174"/>
      <c r="J158" s="493"/>
      <c r="K158" s="494"/>
      <c r="L158" s="491"/>
      <c r="M158" s="174"/>
      <c r="N158" s="174"/>
      <c r="O158" s="174"/>
      <c r="P158" s="174"/>
      <c r="Q158" s="174"/>
    </row>
    <row r="159" spans="1:17" s="17" customFormat="1" x14ac:dyDescent="0.25">
      <c r="A159" s="229"/>
      <c r="B159" s="55"/>
      <c r="C159" s="55"/>
      <c r="D159" s="176"/>
      <c r="E159" s="194"/>
      <c r="F159" s="174"/>
      <c r="G159" s="288"/>
      <c r="H159" s="205"/>
      <c r="I159" s="174"/>
      <c r="J159" s="493"/>
      <c r="K159" s="494"/>
      <c r="L159" s="491"/>
      <c r="M159" s="174"/>
      <c r="N159" s="174"/>
      <c r="O159" s="174"/>
      <c r="P159" s="174"/>
      <c r="Q159" s="174"/>
    </row>
    <row r="160" spans="1:17" s="17" customFormat="1" x14ac:dyDescent="0.25">
      <c r="A160" s="229"/>
      <c r="B160" s="55"/>
      <c r="C160" s="55"/>
      <c r="D160" s="176"/>
      <c r="E160" s="194"/>
      <c r="F160" s="174"/>
      <c r="G160" s="288"/>
      <c r="H160" s="205"/>
      <c r="I160" s="174"/>
      <c r="J160" s="493"/>
      <c r="K160" s="494"/>
      <c r="L160" s="491"/>
      <c r="M160" s="174"/>
      <c r="N160" s="174"/>
      <c r="O160" s="174"/>
      <c r="P160" s="174"/>
      <c r="Q160" s="174"/>
    </row>
    <row r="161" spans="1:17" s="17" customFormat="1" x14ac:dyDescent="0.25">
      <c r="A161" s="229"/>
      <c r="B161" s="55"/>
      <c r="C161" s="55"/>
      <c r="D161" s="176"/>
      <c r="E161" s="194"/>
      <c r="F161" s="174"/>
      <c r="G161" s="288"/>
      <c r="H161" s="205"/>
      <c r="I161" s="174"/>
      <c r="J161" s="493"/>
      <c r="K161" s="494"/>
      <c r="L161" s="491"/>
      <c r="M161" s="174"/>
      <c r="N161" s="174"/>
      <c r="O161" s="174"/>
      <c r="P161" s="174"/>
      <c r="Q161" s="174"/>
    </row>
    <row r="162" spans="1:17" s="17" customFormat="1" x14ac:dyDescent="0.25">
      <c r="A162" s="229"/>
      <c r="B162" s="55"/>
      <c r="C162" s="55"/>
      <c r="D162" s="176"/>
      <c r="E162" s="194"/>
      <c r="F162" s="174"/>
      <c r="G162" s="288"/>
      <c r="H162" s="205"/>
      <c r="I162" s="174"/>
      <c r="J162" s="493"/>
      <c r="K162" s="494"/>
      <c r="L162" s="491"/>
      <c r="M162" s="174"/>
      <c r="N162" s="174"/>
      <c r="O162" s="174"/>
      <c r="P162" s="174"/>
      <c r="Q162" s="174"/>
    </row>
    <row r="163" spans="1:17" s="17" customFormat="1" x14ac:dyDescent="0.25">
      <c r="A163" s="229"/>
      <c r="B163" s="55"/>
      <c r="C163" s="55"/>
      <c r="D163" s="176"/>
      <c r="E163" s="194"/>
      <c r="F163" s="174"/>
      <c r="G163" s="288"/>
      <c r="H163" s="205"/>
      <c r="I163" s="174"/>
      <c r="J163" s="493"/>
      <c r="K163" s="494"/>
      <c r="L163" s="491"/>
      <c r="M163" s="174"/>
      <c r="N163" s="174"/>
      <c r="O163" s="174"/>
      <c r="P163" s="174"/>
      <c r="Q163" s="174"/>
    </row>
    <row r="164" spans="1:17" s="17" customFormat="1" x14ac:dyDescent="0.25">
      <c r="A164" s="229"/>
      <c r="B164" s="55"/>
      <c r="C164" s="55"/>
      <c r="D164" s="176"/>
      <c r="E164" s="194"/>
      <c r="F164" s="174"/>
      <c r="G164" s="288"/>
      <c r="H164" s="205"/>
      <c r="I164" s="174"/>
      <c r="J164" s="493"/>
      <c r="K164" s="494"/>
      <c r="L164" s="491"/>
      <c r="M164" s="174"/>
      <c r="N164" s="174"/>
      <c r="O164" s="174"/>
      <c r="P164" s="174"/>
      <c r="Q164" s="174"/>
    </row>
    <row r="165" spans="1:17" s="17" customFormat="1" x14ac:dyDescent="0.25">
      <c r="A165" s="229"/>
      <c r="B165" s="55"/>
      <c r="C165" s="55"/>
      <c r="D165" s="176"/>
      <c r="E165" s="194"/>
      <c r="F165" s="174"/>
      <c r="G165" s="288"/>
      <c r="H165" s="205"/>
      <c r="I165" s="174"/>
      <c r="J165" s="493"/>
      <c r="K165" s="494"/>
      <c r="L165" s="491"/>
      <c r="M165" s="174"/>
      <c r="N165" s="174"/>
      <c r="O165" s="174"/>
      <c r="P165" s="174"/>
      <c r="Q165" s="174"/>
    </row>
    <row r="166" spans="1:17" s="17" customFormat="1" x14ac:dyDescent="0.25">
      <c r="A166" s="229"/>
      <c r="B166" s="55"/>
      <c r="C166" s="55"/>
      <c r="D166" s="176"/>
      <c r="E166" s="194"/>
      <c r="F166" s="174"/>
      <c r="G166" s="288"/>
      <c r="H166" s="205"/>
      <c r="I166" s="174"/>
      <c r="J166" s="493"/>
      <c r="K166" s="494"/>
      <c r="L166" s="491"/>
      <c r="M166" s="174"/>
      <c r="N166" s="174"/>
      <c r="O166" s="174"/>
      <c r="P166" s="174"/>
      <c r="Q166" s="174"/>
    </row>
    <row r="167" spans="1:17" s="17" customFormat="1" x14ac:dyDescent="0.25">
      <c r="A167" s="229"/>
      <c r="B167" s="55"/>
      <c r="C167" s="55"/>
      <c r="D167" s="176"/>
      <c r="E167" s="194"/>
      <c r="F167" s="174"/>
      <c r="G167" s="288"/>
      <c r="H167" s="205"/>
      <c r="I167" s="174"/>
      <c r="J167" s="495"/>
      <c r="K167" s="494"/>
      <c r="L167" s="491"/>
      <c r="M167" s="174"/>
      <c r="N167" s="174"/>
      <c r="O167" s="174"/>
      <c r="P167" s="174"/>
      <c r="Q167" s="174"/>
    </row>
    <row r="168" spans="1:17" s="17" customFormat="1" x14ac:dyDescent="0.25">
      <c r="A168" s="229"/>
      <c r="B168" s="55"/>
      <c r="C168" s="55"/>
      <c r="D168" s="176"/>
      <c r="E168" s="194"/>
      <c r="F168" s="174"/>
      <c r="G168" s="288"/>
      <c r="H168" s="205"/>
      <c r="I168" s="174"/>
      <c r="J168" s="495"/>
      <c r="K168" s="494"/>
      <c r="L168" s="491"/>
      <c r="M168" s="174"/>
      <c r="N168" s="174"/>
      <c r="O168" s="174"/>
      <c r="P168" s="174"/>
      <c r="Q168" s="174"/>
    </row>
    <row r="169" spans="1:17" s="17" customFormat="1" x14ac:dyDescent="0.25">
      <c r="A169" s="229"/>
      <c r="B169" s="55"/>
      <c r="C169" s="55"/>
      <c r="D169" s="176"/>
      <c r="E169" s="194"/>
      <c r="F169" s="174"/>
      <c r="G169" s="288"/>
      <c r="H169" s="205"/>
      <c r="I169" s="174"/>
      <c r="J169" s="495"/>
      <c r="K169" s="494"/>
      <c r="L169" s="491"/>
      <c r="M169" s="174"/>
      <c r="N169" s="174"/>
      <c r="O169" s="174"/>
      <c r="P169" s="174"/>
      <c r="Q169" s="174"/>
    </row>
    <row r="170" spans="1:17" s="17" customFormat="1" x14ac:dyDescent="0.25">
      <c r="A170" s="229"/>
      <c r="B170" s="55"/>
      <c r="C170" s="55"/>
      <c r="D170" s="176"/>
      <c r="E170" s="194"/>
      <c r="F170" s="174"/>
      <c r="G170" s="288"/>
      <c r="H170" s="205"/>
      <c r="I170" s="174"/>
      <c r="J170" s="495"/>
      <c r="K170" s="494"/>
      <c r="L170" s="491"/>
      <c r="M170" s="174"/>
      <c r="N170" s="174"/>
      <c r="O170" s="174"/>
      <c r="P170" s="174"/>
      <c r="Q170" s="174"/>
    </row>
    <row r="171" spans="1:17" s="17" customFormat="1" x14ac:dyDescent="0.25">
      <c r="A171" s="229"/>
      <c r="B171" s="55"/>
      <c r="C171" s="55"/>
      <c r="D171" s="176"/>
      <c r="E171" s="194"/>
      <c r="F171" s="174"/>
      <c r="G171" s="288"/>
      <c r="H171" s="205"/>
      <c r="I171" s="174"/>
      <c r="J171" s="495"/>
      <c r="K171" s="494"/>
      <c r="L171" s="491"/>
      <c r="M171" s="174"/>
      <c r="N171" s="174"/>
      <c r="O171" s="174"/>
      <c r="P171" s="174"/>
      <c r="Q171" s="174"/>
    </row>
    <row r="172" spans="1:17" s="17" customFormat="1" x14ac:dyDescent="0.25">
      <c r="A172" s="229"/>
      <c r="B172" s="55"/>
      <c r="C172" s="55"/>
      <c r="D172" s="176"/>
      <c r="E172" s="194"/>
      <c r="F172" s="174"/>
      <c r="G172" s="288"/>
      <c r="H172" s="205"/>
      <c r="I172" s="174"/>
      <c r="J172" s="495"/>
      <c r="K172" s="494"/>
      <c r="L172" s="491"/>
      <c r="M172" s="174"/>
      <c r="N172" s="174"/>
      <c r="O172" s="174"/>
      <c r="P172" s="174"/>
      <c r="Q172" s="174"/>
    </row>
    <row r="173" spans="1:17" s="17" customFormat="1" x14ac:dyDescent="0.25">
      <c r="A173" s="229"/>
      <c r="B173" s="55"/>
      <c r="C173" s="55"/>
      <c r="D173" s="176"/>
      <c r="E173" s="194"/>
      <c r="F173" s="174"/>
      <c r="G173" s="288"/>
      <c r="H173" s="205"/>
      <c r="I173" s="174"/>
      <c r="J173" s="495"/>
      <c r="K173" s="494"/>
      <c r="L173" s="491"/>
      <c r="M173" s="174"/>
      <c r="N173" s="174"/>
      <c r="O173" s="174"/>
      <c r="P173" s="174"/>
      <c r="Q173" s="174"/>
    </row>
    <row r="174" spans="1:17" s="17" customFormat="1" x14ac:dyDescent="0.25">
      <c r="A174" s="229"/>
      <c r="B174" s="55"/>
      <c r="C174" s="55"/>
      <c r="D174" s="176"/>
      <c r="E174" s="194"/>
      <c r="F174" s="174"/>
      <c r="G174" s="288"/>
      <c r="H174" s="205"/>
      <c r="I174" s="174"/>
      <c r="J174" s="495"/>
      <c r="K174" s="494"/>
      <c r="L174" s="491"/>
      <c r="M174" s="174"/>
      <c r="N174" s="174"/>
      <c r="O174" s="174"/>
      <c r="P174" s="174"/>
      <c r="Q174" s="174"/>
    </row>
    <row r="175" spans="1:17" s="17" customFormat="1" x14ac:dyDescent="0.25">
      <c r="A175" s="229"/>
      <c r="B175" s="55"/>
      <c r="C175" s="55"/>
      <c r="D175" s="176"/>
      <c r="E175" s="194"/>
      <c r="F175" s="174"/>
      <c r="G175" s="288"/>
      <c r="H175" s="205"/>
      <c r="I175" s="174"/>
      <c r="J175" s="495"/>
      <c r="K175" s="494"/>
      <c r="L175" s="491"/>
      <c r="M175" s="174"/>
      <c r="N175" s="174"/>
      <c r="O175" s="174"/>
      <c r="P175" s="174"/>
      <c r="Q175" s="174"/>
    </row>
    <row r="176" spans="1:17" s="17" customFormat="1" x14ac:dyDescent="0.25">
      <c r="A176" s="229"/>
      <c r="B176" s="55"/>
      <c r="C176" s="55"/>
      <c r="D176" s="176"/>
      <c r="E176" s="194"/>
      <c r="F176" s="174"/>
      <c r="G176" s="288"/>
      <c r="H176" s="205"/>
      <c r="I176" s="174"/>
      <c r="J176" s="495"/>
      <c r="K176" s="494"/>
      <c r="L176" s="491"/>
      <c r="M176" s="174"/>
      <c r="N176" s="174"/>
      <c r="O176" s="174"/>
      <c r="P176" s="174"/>
      <c r="Q176" s="174"/>
    </row>
    <row r="177" spans="1:17" s="17" customFormat="1" x14ac:dyDescent="0.25">
      <c r="A177" s="229"/>
      <c r="B177" s="55"/>
      <c r="C177" s="55"/>
      <c r="D177" s="176"/>
      <c r="E177" s="194"/>
      <c r="F177" s="174"/>
      <c r="G177" s="288"/>
      <c r="H177" s="205"/>
      <c r="I177" s="174"/>
      <c r="J177" s="495"/>
      <c r="K177" s="494"/>
      <c r="L177" s="491"/>
      <c r="M177" s="174"/>
      <c r="N177" s="174"/>
      <c r="O177" s="174"/>
      <c r="P177" s="174"/>
      <c r="Q177" s="174"/>
    </row>
    <row r="178" spans="1:17" s="17" customFormat="1" x14ac:dyDescent="0.25">
      <c r="A178" s="229"/>
      <c r="B178" s="55"/>
      <c r="C178" s="55"/>
      <c r="D178" s="176"/>
      <c r="E178" s="194"/>
      <c r="F178" s="174"/>
      <c r="G178" s="288"/>
      <c r="H178" s="205"/>
      <c r="I178" s="174"/>
      <c r="J178" s="495"/>
      <c r="K178" s="494"/>
      <c r="L178" s="491"/>
      <c r="M178" s="174"/>
      <c r="N178" s="174"/>
      <c r="O178" s="174"/>
      <c r="P178" s="174"/>
      <c r="Q178" s="174"/>
    </row>
    <row r="179" spans="1:17" s="17" customFormat="1" x14ac:dyDescent="0.25">
      <c r="A179" s="229"/>
      <c r="B179" s="55"/>
      <c r="C179" s="55"/>
      <c r="D179" s="176"/>
      <c r="E179" s="194"/>
      <c r="F179" s="174"/>
      <c r="G179" s="288"/>
      <c r="H179" s="205"/>
      <c r="I179" s="174"/>
      <c r="J179" s="495"/>
      <c r="K179" s="494"/>
      <c r="L179" s="491"/>
      <c r="M179" s="174"/>
      <c r="N179" s="174"/>
      <c r="O179" s="174"/>
      <c r="P179" s="174"/>
      <c r="Q179" s="174"/>
    </row>
    <row r="180" spans="1:17" s="17" customFormat="1" x14ac:dyDescent="0.25">
      <c r="A180" s="229"/>
      <c r="B180" s="55"/>
      <c r="C180" s="55"/>
      <c r="D180" s="176"/>
      <c r="E180" s="194"/>
      <c r="F180" s="174"/>
      <c r="G180" s="288"/>
      <c r="H180" s="205"/>
      <c r="I180" s="174"/>
      <c r="J180" s="495"/>
      <c r="K180" s="494"/>
      <c r="L180" s="491"/>
      <c r="M180" s="174"/>
      <c r="N180" s="174"/>
      <c r="O180" s="174"/>
      <c r="P180" s="174"/>
      <c r="Q180" s="174"/>
    </row>
    <row r="181" spans="1:17" s="17" customFormat="1" x14ac:dyDescent="0.25">
      <c r="A181" s="229"/>
      <c r="B181" s="55"/>
      <c r="C181" s="55"/>
      <c r="D181" s="176"/>
      <c r="E181" s="194"/>
      <c r="F181" s="174"/>
      <c r="G181" s="288"/>
      <c r="H181" s="205"/>
      <c r="I181" s="174"/>
      <c r="J181" s="495"/>
      <c r="K181" s="494"/>
      <c r="L181" s="491"/>
      <c r="M181" s="174"/>
      <c r="N181" s="174"/>
      <c r="O181" s="174"/>
      <c r="P181" s="174"/>
      <c r="Q181" s="174"/>
    </row>
    <row r="182" spans="1:17" s="17" customFormat="1" x14ac:dyDescent="0.25">
      <c r="A182" s="229"/>
      <c r="B182" s="55"/>
      <c r="C182" s="55"/>
      <c r="D182" s="176"/>
      <c r="E182" s="194"/>
      <c r="F182" s="174"/>
      <c r="G182" s="288"/>
      <c r="H182" s="205"/>
      <c r="I182" s="174"/>
      <c r="J182" s="495"/>
      <c r="K182" s="494"/>
      <c r="L182" s="491"/>
      <c r="M182" s="174"/>
      <c r="N182" s="174"/>
      <c r="O182" s="174"/>
      <c r="P182" s="174"/>
      <c r="Q182" s="174"/>
    </row>
    <row r="183" spans="1:17" s="17" customFormat="1" x14ac:dyDescent="0.25">
      <c r="A183" s="229"/>
      <c r="B183" s="55"/>
      <c r="C183" s="55"/>
      <c r="D183" s="176"/>
      <c r="E183" s="194"/>
      <c r="F183" s="174"/>
      <c r="G183" s="288"/>
      <c r="H183" s="205"/>
      <c r="I183" s="174"/>
      <c r="J183" s="495"/>
      <c r="K183" s="494"/>
      <c r="L183" s="491"/>
      <c r="M183" s="174"/>
      <c r="N183" s="174"/>
      <c r="O183" s="174"/>
      <c r="P183" s="174"/>
      <c r="Q183" s="174"/>
    </row>
    <row r="184" spans="1:17" s="17" customFormat="1" x14ac:dyDescent="0.25">
      <c r="A184" s="229"/>
      <c r="B184" s="55"/>
      <c r="C184" s="55"/>
      <c r="D184" s="176"/>
      <c r="E184" s="194"/>
      <c r="F184" s="174"/>
      <c r="G184" s="288"/>
      <c r="H184" s="205"/>
      <c r="I184" s="174"/>
      <c r="J184" s="495"/>
      <c r="K184" s="494"/>
      <c r="L184" s="491"/>
      <c r="M184" s="174"/>
      <c r="N184" s="174"/>
      <c r="O184" s="174"/>
      <c r="P184" s="174"/>
      <c r="Q184" s="174"/>
    </row>
    <row r="185" spans="1:17" s="17" customFormat="1" x14ac:dyDescent="0.25">
      <c r="A185" s="229"/>
      <c r="B185" s="55"/>
      <c r="C185" s="55"/>
      <c r="D185" s="176"/>
      <c r="E185" s="194"/>
      <c r="F185" s="174"/>
      <c r="G185" s="288"/>
      <c r="H185" s="205"/>
      <c r="I185" s="174"/>
      <c r="J185" s="495"/>
      <c r="K185" s="494"/>
      <c r="L185" s="491"/>
      <c r="M185" s="174"/>
      <c r="N185" s="174"/>
      <c r="O185" s="174"/>
      <c r="P185" s="174"/>
      <c r="Q185" s="174"/>
    </row>
    <row r="186" spans="1:17" s="17" customFormat="1" x14ac:dyDescent="0.25">
      <c r="A186" s="229"/>
      <c r="B186" s="55"/>
      <c r="C186" s="55"/>
      <c r="D186" s="55"/>
      <c r="E186" s="132"/>
      <c r="G186" s="202"/>
      <c r="H186" s="236"/>
      <c r="J186" s="145"/>
      <c r="K186" s="147"/>
      <c r="L186" s="149"/>
    </row>
    <row r="187" spans="1:17" s="17" customFormat="1" x14ac:dyDescent="0.25">
      <c r="A187" s="229"/>
      <c r="B187" s="55"/>
      <c r="C187" s="55"/>
      <c r="D187" s="55"/>
      <c r="E187" s="132"/>
      <c r="G187" s="202"/>
      <c r="H187" s="236"/>
      <c r="J187" s="145"/>
      <c r="K187" s="147"/>
      <c r="L187" s="149"/>
    </row>
    <row r="188" spans="1:17" s="17" customFormat="1" x14ac:dyDescent="0.25">
      <c r="A188" s="229"/>
      <c r="B188" s="55"/>
      <c r="C188" s="55"/>
      <c r="D188" s="55"/>
      <c r="E188" s="132"/>
      <c r="G188" s="202"/>
      <c r="H188" s="236"/>
      <c r="J188" s="145"/>
      <c r="K188" s="147"/>
      <c r="L188" s="149"/>
    </row>
    <row r="189" spans="1:17" s="17" customFormat="1" x14ac:dyDescent="0.25">
      <c r="A189" s="229"/>
      <c r="B189" s="55"/>
      <c r="C189" s="55"/>
      <c r="D189" s="55"/>
      <c r="E189" s="132"/>
      <c r="G189" s="202"/>
      <c r="H189" s="236"/>
      <c r="J189" s="145"/>
      <c r="K189" s="147"/>
      <c r="L189" s="149"/>
    </row>
    <row r="190" spans="1:17" s="17" customFormat="1" x14ac:dyDescent="0.25">
      <c r="A190" s="229"/>
      <c r="B190" s="55"/>
      <c r="C190" s="55"/>
      <c r="D190" s="55"/>
      <c r="E190" s="132"/>
      <c r="G190" s="202"/>
      <c r="H190" s="236"/>
      <c r="J190" s="145"/>
      <c r="K190" s="147"/>
      <c r="L190" s="149"/>
    </row>
    <row r="191" spans="1:17" s="17" customFormat="1" x14ac:dyDescent="0.25">
      <c r="A191" s="229"/>
      <c r="B191" s="55"/>
      <c r="C191" s="55"/>
      <c r="D191" s="55"/>
      <c r="E191" s="132"/>
      <c r="G191" s="202"/>
      <c r="H191" s="236"/>
      <c r="J191" s="145"/>
      <c r="K191" s="147"/>
      <c r="L191" s="149"/>
    </row>
    <row r="192" spans="1:17" s="17" customFormat="1" x14ac:dyDescent="0.25">
      <c r="A192" s="229"/>
      <c r="B192" s="55"/>
      <c r="C192" s="55"/>
      <c r="D192" s="55"/>
      <c r="E192" s="132"/>
      <c r="G192" s="202"/>
      <c r="H192" s="236"/>
      <c r="J192" s="145"/>
      <c r="K192" s="147"/>
      <c r="L192" s="149"/>
    </row>
    <row r="193" spans="1:12" s="17" customFormat="1" x14ac:dyDescent="0.25">
      <c r="A193" s="229"/>
      <c r="B193" s="55"/>
      <c r="C193" s="55"/>
      <c r="D193" s="55"/>
      <c r="E193" s="132"/>
      <c r="G193" s="202"/>
      <c r="H193" s="236"/>
      <c r="J193" s="145"/>
      <c r="K193" s="147"/>
      <c r="L193" s="149"/>
    </row>
    <row r="194" spans="1:12" s="17" customFormat="1" x14ac:dyDescent="0.25">
      <c r="A194" s="229"/>
      <c r="B194" s="55"/>
      <c r="C194" s="55"/>
      <c r="D194" s="55"/>
      <c r="E194" s="132"/>
      <c r="G194" s="202"/>
      <c r="H194" s="236"/>
      <c r="J194" s="145"/>
      <c r="K194" s="147"/>
      <c r="L194" s="149"/>
    </row>
    <row r="195" spans="1:12" s="17" customFormat="1" x14ac:dyDescent="0.25">
      <c r="A195" s="229"/>
      <c r="B195" s="55"/>
      <c r="C195" s="55"/>
      <c r="D195" s="55"/>
      <c r="E195" s="132"/>
      <c r="G195" s="202"/>
      <c r="H195" s="236"/>
      <c r="J195" s="145"/>
      <c r="K195" s="147"/>
      <c r="L195" s="149"/>
    </row>
    <row r="196" spans="1:12" s="17" customFormat="1" x14ac:dyDescent="0.25">
      <c r="A196" s="229"/>
      <c r="B196" s="55"/>
      <c r="C196" s="55"/>
      <c r="D196" s="55"/>
      <c r="E196" s="132"/>
      <c r="G196" s="202"/>
      <c r="H196" s="236"/>
      <c r="J196" s="145"/>
      <c r="K196" s="147"/>
      <c r="L196" s="149"/>
    </row>
    <row r="197" spans="1:12" s="17" customFormat="1" x14ac:dyDescent="0.25">
      <c r="A197" s="229"/>
      <c r="B197" s="55"/>
      <c r="C197" s="55"/>
      <c r="D197" s="55"/>
      <c r="E197" s="132"/>
      <c r="G197" s="202"/>
      <c r="H197" s="236"/>
      <c r="J197" s="145"/>
      <c r="K197" s="147"/>
      <c r="L197" s="149"/>
    </row>
    <row r="198" spans="1:12" s="17" customFormat="1" x14ac:dyDescent="0.25">
      <c r="A198" s="229"/>
      <c r="B198" s="55"/>
      <c r="C198" s="55"/>
      <c r="D198" s="55"/>
      <c r="E198" s="132"/>
      <c r="G198" s="202"/>
      <c r="H198" s="236"/>
      <c r="J198" s="145"/>
      <c r="K198" s="147"/>
      <c r="L198" s="149"/>
    </row>
    <row r="199" spans="1:12" s="17" customFormat="1" x14ac:dyDescent="0.25">
      <c r="A199" s="229"/>
      <c r="B199" s="55"/>
      <c r="C199" s="55"/>
      <c r="D199" s="55"/>
      <c r="E199" s="132"/>
      <c r="G199" s="202"/>
      <c r="H199" s="236"/>
      <c r="J199" s="145"/>
      <c r="K199" s="147"/>
      <c r="L199" s="149"/>
    </row>
    <row r="200" spans="1:12" s="17" customFormat="1" x14ac:dyDescent="0.25">
      <c r="A200" s="229"/>
      <c r="B200" s="55"/>
      <c r="C200" s="55"/>
      <c r="D200" s="55"/>
      <c r="E200" s="132"/>
      <c r="G200" s="202"/>
      <c r="H200" s="236"/>
      <c r="J200" s="145"/>
      <c r="K200" s="147"/>
      <c r="L200" s="149"/>
    </row>
    <row r="201" spans="1:12" s="17" customFormat="1" x14ac:dyDescent="0.25">
      <c r="A201" s="229"/>
      <c r="B201" s="55"/>
      <c r="C201" s="55"/>
      <c r="D201" s="55"/>
      <c r="E201" s="132"/>
      <c r="G201" s="202"/>
      <c r="H201" s="236"/>
      <c r="J201" s="145"/>
      <c r="K201" s="147"/>
      <c r="L201" s="149"/>
    </row>
    <row r="202" spans="1:12" s="17" customFormat="1" x14ac:dyDescent="0.25">
      <c r="A202" s="229"/>
      <c r="B202" s="55"/>
      <c r="C202" s="55"/>
      <c r="D202" s="55"/>
      <c r="E202" s="132"/>
      <c r="G202" s="202"/>
      <c r="H202" s="236"/>
      <c r="J202" s="145"/>
      <c r="K202" s="147"/>
      <c r="L202" s="149"/>
    </row>
    <row r="203" spans="1:12" s="17" customFormat="1" x14ac:dyDescent="0.25">
      <c r="A203" s="229"/>
      <c r="B203" s="55"/>
      <c r="C203" s="55"/>
      <c r="D203" s="55"/>
      <c r="E203" s="132"/>
      <c r="G203" s="202"/>
      <c r="H203" s="236"/>
      <c r="J203" s="145"/>
      <c r="K203" s="147"/>
      <c r="L203" s="149"/>
    </row>
    <row r="204" spans="1:12" s="17" customFormat="1" x14ac:dyDescent="0.25">
      <c r="A204" s="229"/>
      <c r="B204" s="55"/>
      <c r="C204" s="55"/>
      <c r="D204" s="55"/>
      <c r="E204" s="132"/>
      <c r="G204" s="202"/>
      <c r="H204" s="236"/>
      <c r="J204" s="145"/>
      <c r="K204" s="147"/>
      <c r="L204" s="149"/>
    </row>
    <row r="205" spans="1:12" s="17" customFormat="1" x14ac:dyDescent="0.25">
      <c r="A205" s="229"/>
      <c r="B205" s="55"/>
      <c r="C205" s="55"/>
      <c r="D205" s="55"/>
      <c r="E205" s="132"/>
      <c r="G205" s="202"/>
      <c r="H205" s="236"/>
      <c r="J205" s="145"/>
      <c r="K205" s="147"/>
      <c r="L205" s="149"/>
    </row>
    <row r="206" spans="1:12" s="17" customFormat="1" x14ac:dyDescent="0.25">
      <c r="A206" s="229"/>
      <c r="B206" s="55"/>
      <c r="C206" s="55"/>
      <c r="D206" s="55"/>
      <c r="E206" s="132"/>
      <c r="G206" s="202"/>
      <c r="H206" s="236"/>
      <c r="J206" s="145"/>
      <c r="K206" s="147"/>
      <c r="L206" s="149"/>
    </row>
    <row r="207" spans="1:12" s="17" customFormat="1" x14ac:dyDescent="0.25">
      <c r="A207" s="229"/>
      <c r="B207" s="55"/>
      <c r="C207" s="55"/>
      <c r="D207" s="55"/>
      <c r="G207" s="202"/>
      <c r="H207" s="236"/>
      <c r="J207" s="145"/>
      <c r="K207" s="147"/>
      <c r="L207" s="149"/>
    </row>
    <row r="208" spans="1:12" s="17" customFormat="1" x14ac:dyDescent="0.25">
      <c r="A208" s="229"/>
      <c r="B208" s="55"/>
      <c r="C208" s="55"/>
      <c r="D208" s="55"/>
      <c r="G208" s="202"/>
      <c r="H208" s="236"/>
      <c r="J208" s="145"/>
      <c r="K208" s="147"/>
      <c r="L208" s="149"/>
    </row>
    <row r="209" spans="1:12" s="17" customFormat="1" x14ac:dyDescent="0.25">
      <c r="A209" s="229"/>
      <c r="B209" s="55"/>
      <c r="C209" s="55"/>
      <c r="D209" s="55"/>
      <c r="G209" s="202"/>
      <c r="H209" s="236"/>
      <c r="J209" s="145"/>
      <c r="K209" s="147"/>
      <c r="L209" s="149"/>
    </row>
    <row r="210" spans="1:12" s="17" customFormat="1" x14ac:dyDescent="0.25">
      <c r="A210" s="229"/>
      <c r="B210" s="55"/>
      <c r="C210" s="55"/>
      <c r="D210" s="55"/>
      <c r="G210" s="202"/>
      <c r="H210" s="236"/>
      <c r="J210" s="145"/>
      <c r="K210" s="147"/>
      <c r="L210" s="149"/>
    </row>
    <row r="211" spans="1:12" s="17" customFormat="1" x14ac:dyDescent="0.25">
      <c r="A211" s="229"/>
      <c r="B211" s="55"/>
      <c r="C211" s="55"/>
      <c r="D211" s="55"/>
      <c r="G211" s="202"/>
      <c r="H211" s="236"/>
      <c r="J211" s="145"/>
      <c r="K211" s="147"/>
      <c r="L211" s="149"/>
    </row>
    <row r="212" spans="1:12" s="17" customFormat="1" x14ac:dyDescent="0.25">
      <c r="A212" s="229"/>
      <c r="B212" s="55"/>
      <c r="C212" s="55"/>
      <c r="D212" s="55"/>
      <c r="G212" s="202"/>
      <c r="H212" s="236"/>
      <c r="J212" s="145"/>
      <c r="K212" s="147"/>
      <c r="L212" s="149"/>
    </row>
    <row r="213" spans="1:12" s="17" customFormat="1" x14ac:dyDescent="0.25">
      <c r="A213" s="229"/>
      <c r="B213" s="55"/>
      <c r="C213" s="55"/>
      <c r="D213" s="55"/>
      <c r="G213" s="202"/>
      <c r="H213" s="236"/>
      <c r="J213" s="145"/>
      <c r="K213" s="147"/>
      <c r="L213" s="149"/>
    </row>
    <row r="214" spans="1:12" s="17" customFormat="1" x14ac:dyDescent="0.25">
      <c r="A214" s="229"/>
      <c r="B214" s="55"/>
      <c r="C214" s="55"/>
      <c r="D214" s="55"/>
      <c r="G214" s="202"/>
      <c r="H214" s="236"/>
      <c r="J214" s="145"/>
      <c r="K214" s="147"/>
      <c r="L214" s="149"/>
    </row>
    <row r="215" spans="1:12" s="17" customFormat="1" x14ac:dyDescent="0.25">
      <c r="A215" s="229"/>
      <c r="B215" s="55"/>
      <c r="C215" s="55"/>
      <c r="D215" s="55"/>
      <c r="G215" s="202"/>
      <c r="H215" s="236"/>
      <c r="J215" s="145"/>
      <c r="K215" s="147"/>
      <c r="L215" s="149"/>
    </row>
    <row r="216" spans="1:12" s="17" customFormat="1" x14ac:dyDescent="0.25">
      <c r="A216" s="229"/>
      <c r="B216" s="55"/>
      <c r="C216" s="55"/>
      <c r="D216" s="55"/>
      <c r="G216" s="202"/>
      <c r="H216" s="236"/>
      <c r="J216" s="145"/>
      <c r="K216" s="147"/>
      <c r="L216" s="149"/>
    </row>
    <row r="217" spans="1:12" s="17" customFormat="1" x14ac:dyDescent="0.25">
      <c r="A217" s="229"/>
      <c r="B217" s="55"/>
      <c r="C217" s="55"/>
      <c r="D217" s="55"/>
      <c r="G217" s="202"/>
      <c r="H217" s="236"/>
      <c r="J217" s="145"/>
      <c r="K217" s="147"/>
      <c r="L217" s="149"/>
    </row>
    <row r="218" spans="1:12" s="17" customFormat="1" x14ac:dyDescent="0.25">
      <c r="A218" s="229"/>
      <c r="B218" s="55"/>
      <c r="C218" s="55"/>
      <c r="D218" s="55"/>
      <c r="G218" s="202"/>
      <c r="H218" s="236"/>
      <c r="J218" s="145"/>
      <c r="K218" s="147"/>
      <c r="L218" s="149"/>
    </row>
    <row r="219" spans="1:12" s="17" customFormat="1" x14ac:dyDescent="0.25">
      <c r="A219" s="229"/>
      <c r="B219" s="55"/>
      <c r="C219" s="55"/>
      <c r="D219" s="55"/>
      <c r="G219" s="202"/>
      <c r="H219" s="236"/>
      <c r="J219" s="145"/>
      <c r="K219" s="147"/>
      <c r="L219" s="149"/>
    </row>
    <row r="220" spans="1:12" s="17" customFormat="1" x14ac:dyDescent="0.25">
      <c r="A220" s="229"/>
      <c r="B220" s="55"/>
      <c r="C220" s="55"/>
      <c r="D220" s="55"/>
      <c r="G220" s="202"/>
      <c r="H220" s="236"/>
      <c r="J220" s="145"/>
      <c r="K220" s="147"/>
      <c r="L220" s="149"/>
    </row>
    <row r="221" spans="1:12" s="17" customFormat="1" x14ac:dyDescent="0.25">
      <c r="A221" s="229"/>
      <c r="B221" s="55"/>
      <c r="C221" s="55"/>
      <c r="D221" s="55"/>
      <c r="G221" s="202"/>
      <c r="H221" s="236"/>
      <c r="J221" s="145"/>
      <c r="K221" s="147"/>
      <c r="L221" s="149"/>
    </row>
    <row r="222" spans="1:12" s="17" customFormat="1" x14ac:dyDescent="0.25">
      <c r="A222" s="229"/>
      <c r="B222" s="55"/>
      <c r="C222" s="55"/>
      <c r="D222" s="55"/>
      <c r="G222" s="202"/>
      <c r="H222" s="236"/>
      <c r="J222" s="145"/>
      <c r="K222" s="147"/>
      <c r="L222" s="149"/>
    </row>
    <row r="223" spans="1:12" s="17" customFormat="1" x14ac:dyDescent="0.25">
      <c r="A223" s="229"/>
      <c r="B223" s="55"/>
      <c r="C223" s="55"/>
      <c r="D223" s="55"/>
      <c r="G223" s="202"/>
      <c r="H223" s="236"/>
      <c r="J223" s="145"/>
      <c r="K223" s="147"/>
      <c r="L223" s="149"/>
    </row>
    <row r="224" spans="1:12" s="17" customFormat="1" x14ac:dyDescent="0.25">
      <c r="A224" s="229"/>
      <c r="B224" s="55"/>
      <c r="C224" s="55"/>
      <c r="D224" s="55"/>
      <c r="G224" s="202"/>
      <c r="H224" s="236"/>
      <c r="J224" s="145"/>
      <c r="K224" s="147"/>
      <c r="L224" s="149"/>
    </row>
    <row r="225" spans="1:12" s="17" customFormat="1" x14ac:dyDescent="0.25">
      <c r="A225" s="229"/>
      <c r="B225" s="55"/>
      <c r="C225" s="55"/>
      <c r="D225" s="55"/>
      <c r="G225" s="202"/>
      <c r="H225" s="236"/>
      <c r="J225" s="145"/>
      <c r="K225" s="147"/>
      <c r="L225" s="149"/>
    </row>
    <row r="226" spans="1:12" s="17" customFormat="1" x14ac:dyDescent="0.25">
      <c r="A226" s="229"/>
      <c r="B226" s="55"/>
      <c r="C226" s="55"/>
      <c r="D226" s="55"/>
      <c r="G226" s="202"/>
      <c r="H226" s="236"/>
      <c r="J226" s="145"/>
      <c r="K226" s="147"/>
      <c r="L226" s="149"/>
    </row>
    <row r="227" spans="1:12" s="17" customFormat="1" x14ac:dyDescent="0.25">
      <c r="A227" s="229"/>
      <c r="B227" s="55"/>
      <c r="C227" s="55"/>
      <c r="D227" s="55"/>
      <c r="G227" s="202"/>
      <c r="H227" s="236"/>
      <c r="J227" s="145"/>
      <c r="K227" s="147"/>
      <c r="L227" s="149"/>
    </row>
    <row r="228" spans="1:12" s="17" customFormat="1" x14ac:dyDescent="0.25">
      <c r="A228" s="229"/>
      <c r="B228" s="55"/>
      <c r="C228" s="55"/>
      <c r="D228" s="55"/>
      <c r="G228" s="202"/>
      <c r="H228" s="236"/>
      <c r="J228" s="145"/>
      <c r="K228" s="147"/>
      <c r="L228" s="149"/>
    </row>
    <row r="229" spans="1:12" s="17" customFormat="1" x14ac:dyDescent="0.25">
      <c r="A229" s="229"/>
      <c r="B229" s="55"/>
      <c r="C229" s="55"/>
      <c r="D229" s="55"/>
      <c r="G229" s="202"/>
      <c r="H229" s="236"/>
      <c r="J229" s="145"/>
      <c r="K229" s="147"/>
      <c r="L229" s="149"/>
    </row>
    <row r="230" spans="1:12" s="17" customFormat="1" x14ac:dyDescent="0.25">
      <c r="A230" s="229"/>
      <c r="B230" s="55"/>
      <c r="C230" s="55"/>
      <c r="D230" s="55"/>
      <c r="G230" s="202"/>
      <c r="H230" s="236"/>
      <c r="J230" s="145"/>
      <c r="K230" s="147"/>
      <c r="L230" s="149"/>
    </row>
    <row r="231" spans="1:12" s="17" customFormat="1" x14ac:dyDescent="0.25">
      <c r="A231" s="229"/>
      <c r="B231" s="55"/>
      <c r="C231" s="55"/>
      <c r="D231" s="55"/>
      <c r="G231" s="202"/>
      <c r="H231" s="236"/>
      <c r="J231" s="145"/>
      <c r="K231" s="147"/>
      <c r="L231" s="149"/>
    </row>
    <row r="232" spans="1:12" s="17" customFormat="1" x14ac:dyDescent="0.25">
      <c r="A232" s="229"/>
      <c r="B232" s="55"/>
      <c r="C232" s="55"/>
      <c r="D232" s="55"/>
      <c r="G232" s="202"/>
      <c r="H232" s="236"/>
      <c r="J232" s="145"/>
      <c r="K232" s="147"/>
      <c r="L232" s="149"/>
    </row>
    <row r="233" spans="1:12" s="17" customFormat="1" x14ac:dyDescent="0.25">
      <c r="A233" s="229"/>
      <c r="B233" s="55"/>
      <c r="C233" s="55"/>
      <c r="D233" s="55"/>
      <c r="G233" s="202"/>
      <c r="H233" s="144"/>
      <c r="J233" s="145"/>
      <c r="K233" s="147"/>
      <c r="L233" s="149"/>
    </row>
    <row r="234" spans="1:12" s="17" customFormat="1" x14ac:dyDescent="0.25">
      <c r="A234" s="229"/>
      <c r="B234" s="55"/>
      <c r="C234" s="55"/>
      <c r="D234" s="55"/>
      <c r="G234" s="202"/>
      <c r="H234" s="144"/>
      <c r="J234" s="145"/>
      <c r="K234" s="147"/>
      <c r="L234" s="149"/>
    </row>
    <row r="235" spans="1:12" s="17" customFormat="1" x14ac:dyDescent="0.25">
      <c r="A235" s="229"/>
      <c r="B235" s="55"/>
      <c r="C235" s="55"/>
      <c r="D235" s="55"/>
      <c r="G235" s="202"/>
      <c r="H235" s="144"/>
      <c r="J235" s="145"/>
      <c r="K235" s="147"/>
      <c r="L235" s="149"/>
    </row>
    <row r="236" spans="1:12" s="17" customFormat="1" x14ac:dyDescent="0.25">
      <c r="A236" s="229"/>
      <c r="B236" s="55"/>
      <c r="C236" s="55"/>
      <c r="D236" s="55"/>
      <c r="G236" s="202"/>
      <c r="H236" s="144"/>
      <c r="J236" s="145"/>
      <c r="K236" s="147"/>
      <c r="L236" s="149"/>
    </row>
    <row r="237" spans="1:12" s="17" customFormat="1" x14ac:dyDescent="0.25">
      <c r="A237" s="229"/>
      <c r="B237" s="55"/>
      <c r="C237" s="55"/>
      <c r="D237" s="55"/>
      <c r="G237" s="202"/>
      <c r="H237" s="144"/>
      <c r="J237" s="145"/>
      <c r="K237" s="147"/>
      <c r="L237" s="149"/>
    </row>
    <row r="238" spans="1:12" s="17" customFormat="1" x14ac:dyDescent="0.25">
      <c r="A238" s="229"/>
      <c r="B238" s="55"/>
      <c r="C238" s="55"/>
      <c r="D238" s="55"/>
      <c r="G238" s="202"/>
      <c r="H238" s="144"/>
      <c r="J238" s="145"/>
      <c r="K238" s="147"/>
      <c r="L238" s="149"/>
    </row>
    <row r="239" spans="1:12" s="17" customFormat="1" x14ac:dyDescent="0.25">
      <c r="A239" s="229"/>
      <c r="B239" s="55"/>
      <c r="C239" s="55"/>
      <c r="D239" s="55"/>
      <c r="G239" s="202"/>
      <c r="H239" s="144"/>
      <c r="J239" s="145"/>
      <c r="K239" s="147"/>
      <c r="L239" s="149"/>
    </row>
    <row r="240" spans="1:12" s="17" customFormat="1" x14ac:dyDescent="0.25">
      <c r="A240" s="229"/>
      <c r="B240" s="55"/>
      <c r="C240" s="55"/>
      <c r="D240" s="55"/>
      <c r="G240" s="202"/>
      <c r="H240" s="144"/>
      <c r="J240" s="145"/>
      <c r="K240" s="147"/>
      <c r="L240" s="149"/>
    </row>
    <row r="241" spans="1:12" s="17" customFormat="1" x14ac:dyDescent="0.25">
      <c r="A241" s="229"/>
      <c r="B241" s="55"/>
      <c r="C241" s="55"/>
      <c r="D241" s="55"/>
      <c r="G241" s="202"/>
      <c r="H241" s="144"/>
      <c r="J241" s="145"/>
      <c r="K241" s="147"/>
      <c r="L241" s="149"/>
    </row>
    <row r="242" spans="1:12" s="17" customFormat="1" x14ac:dyDescent="0.25">
      <c r="A242" s="229"/>
      <c r="B242" s="55"/>
      <c r="C242" s="55"/>
      <c r="D242" s="55"/>
      <c r="G242" s="202"/>
      <c r="H242" s="144"/>
      <c r="J242" s="145"/>
      <c r="K242" s="147"/>
      <c r="L242" s="149"/>
    </row>
    <row r="243" spans="1:12" s="17" customFormat="1" x14ac:dyDescent="0.25">
      <c r="A243" s="229"/>
      <c r="B243" s="55"/>
      <c r="C243" s="55"/>
      <c r="D243" s="55"/>
      <c r="G243" s="202"/>
      <c r="H243" s="144"/>
      <c r="J243" s="145"/>
      <c r="K243" s="147"/>
      <c r="L243" s="149"/>
    </row>
    <row r="244" spans="1:12" s="17" customFormat="1" x14ac:dyDescent="0.25">
      <c r="A244" s="229"/>
      <c r="B244" s="55"/>
      <c r="C244" s="55"/>
      <c r="D244" s="55"/>
      <c r="G244" s="202"/>
      <c r="H244" s="144"/>
      <c r="J244" s="145"/>
      <c r="K244" s="147"/>
      <c r="L244" s="149"/>
    </row>
    <row r="245" spans="1:12" s="17" customFormat="1" x14ac:dyDescent="0.25">
      <c r="A245" s="229"/>
      <c r="B245" s="55"/>
      <c r="C245" s="55"/>
      <c r="D245" s="55"/>
      <c r="G245" s="202"/>
      <c r="H245" s="144"/>
      <c r="J245" s="145"/>
      <c r="K245" s="147"/>
      <c r="L245" s="149"/>
    </row>
    <row r="246" spans="1:12" s="17" customFormat="1" x14ac:dyDescent="0.25">
      <c r="A246" s="229"/>
      <c r="B246" s="55"/>
      <c r="C246" s="55"/>
      <c r="D246" s="55"/>
      <c r="G246" s="202"/>
      <c r="H246" s="144"/>
      <c r="J246" s="145"/>
      <c r="K246" s="147"/>
      <c r="L246" s="149"/>
    </row>
    <row r="247" spans="1:12" s="17" customFormat="1" x14ac:dyDescent="0.25">
      <c r="A247" s="229"/>
      <c r="B247" s="55"/>
      <c r="C247" s="55"/>
      <c r="D247" s="55"/>
      <c r="G247" s="202"/>
      <c r="H247" s="144"/>
      <c r="J247" s="145"/>
      <c r="K247" s="147"/>
      <c r="L247" s="149"/>
    </row>
    <row r="248" spans="1:12" s="17" customFormat="1" x14ac:dyDescent="0.25">
      <c r="A248" s="229"/>
      <c r="B248" s="55"/>
      <c r="C248" s="55"/>
      <c r="D248" s="55"/>
      <c r="G248" s="202"/>
      <c r="H248" s="144"/>
      <c r="J248" s="145"/>
      <c r="K248" s="147"/>
      <c r="L248" s="149"/>
    </row>
    <row r="249" spans="1:12" s="17" customFormat="1" x14ac:dyDescent="0.25">
      <c r="A249" s="229"/>
      <c r="B249" s="55"/>
      <c r="C249" s="55"/>
      <c r="D249" s="55"/>
      <c r="G249" s="202"/>
      <c r="H249" s="144"/>
      <c r="J249" s="145"/>
      <c r="K249" s="147"/>
      <c r="L249" s="149"/>
    </row>
    <row r="250" spans="1:12" s="17" customFormat="1" x14ac:dyDescent="0.25">
      <c r="A250" s="229"/>
      <c r="B250" s="55"/>
      <c r="C250" s="55"/>
      <c r="D250" s="55"/>
      <c r="G250" s="202"/>
      <c r="H250" s="144"/>
      <c r="J250" s="145"/>
      <c r="K250" s="147"/>
      <c r="L250" s="149"/>
    </row>
    <row r="251" spans="1:12" s="17" customFormat="1" x14ac:dyDescent="0.25">
      <c r="A251" s="229"/>
      <c r="B251" s="55"/>
      <c r="C251" s="55"/>
      <c r="D251" s="55"/>
      <c r="G251" s="202"/>
      <c r="H251" s="144"/>
      <c r="J251" s="145"/>
      <c r="K251" s="147"/>
      <c r="L251" s="149"/>
    </row>
    <row r="252" spans="1:12" s="17" customFormat="1" x14ac:dyDescent="0.25">
      <c r="A252" s="229"/>
      <c r="B252" s="55"/>
      <c r="C252" s="55"/>
      <c r="D252" s="55"/>
      <c r="G252" s="202"/>
      <c r="H252" s="144"/>
      <c r="J252" s="145"/>
      <c r="K252" s="147"/>
      <c r="L252" s="149"/>
    </row>
    <row r="253" spans="1:12" s="17" customFormat="1" x14ac:dyDescent="0.25">
      <c r="A253" s="229"/>
      <c r="B253" s="55"/>
      <c r="C253" s="55"/>
      <c r="D253" s="55"/>
      <c r="G253" s="202"/>
      <c r="H253" s="144"/>
      <c r="J253" s="145"/>
      <c r="K253" s="147"/>
      <c r="L253" s="149"/>
    </row>
    <row r="254" spans="1:12" s="17" customFormat="1" x14ac:dyDescent="0.25">
      <c r="A254" s="229"/>
      <c r="B254" s="55"/>
      <c r="C254" s="55"/>
      <c r="D254" s="55"/>
      <c r="G254" s="202"/>
      <c r="H254" s="144"/>
      <c r="J254" s="145"/>
      <c r="K254" s="147"/>
      <c r="L254" s="149"/>
    </row>
    <row r="255" spans="1:12" s="17" customFormat="1" x14ac:dyDescent="0.25">
      <c r="A255" s="229"/>
      <c r="B255" s="55"/>
      <c r="C255" s="55"/>
      <c r="D255" s="55"/>
      <c r="G255" s="202"/>
      <c r="H255" s="144"/>
      <c r="J255" s="145"/>
      <c r="K255" s="147"/>
      <c r="L255" s="149"/>
    </row>
    <row r="256" spans="1:12" s="17" customFormat="1" x14ac:dyDescent="0.25">
      <c r="A256" s="229"/>
      <c r="B256" s="55"/>
      <c r="C256" s="55"/>
      <c r="D256" s="55"/>
      <c r="G256" s="202"/>
      <c r="H256" s="144"/>
      <c r="J256" s="145"/>
      <c r="K256" s="147"/>
      <c r="L256" s="149"/>
    </row>
    <row r="257" spans="1:12" s="17" customFormat="1" x14ac:dyDescent="0.25">
      <c r="A257" s="229"/>
      <c r="B257" s="55"/>
      <c r="C257" s="55"/>
      <c r="D257" s="55"/>
      <c r="G257" s="202"/>
      <c r="H257" s="144"/>
      <c r="J257" s="145"/>
      <c r="K257" s="147"/>
      <c r="L257" s="149"/>
    </row>
    <row r="258" spans="1:12" s="17" customFormat="1" x14ac:dyDescent="0.25">
      <c r="A258" s="229"/>
      <c r="B258" s="55"/>
      <c r="C258" s="55"/>
      <c r="D258" s="55"/>
      <c r="G258" s="202"/>
      <c r="H258" s="144"/>
      <c r="J258" s="145"/>
      <c r="K258" s="148"/>
      <c r="L258" s="149"/>
    </row>
    <row r="259" spans="1:12" s="17" customFormat="1" x14ac:dyDescent="0.25">
      <c r="A259" s="229"/>
      <c r="B259" s="55"/>
      <c r="C259" s="55"/>
      <c r="D259" s="55"/>
      <c r="G259" s="202"/>
      <c r="H259" s="144"/>
      <c r="J259" s="145"/>
      <c r="K259" s="148"/>
      <c r="L259" s="149"/>
    </row>
    <row r="260" spans="1:12" s="17" customFormat="1" x14ac:dyDescent="0.25">
      <c r="A260" s="229"/>
      <c r="B260" s="55"/>
      <c r="C260" s="55"/>
      <c r="D260" s="55"/>
      <c r="G260" s="202"/>
      <c r="H260" s="144"/>
      <c r="J260" s="145"/>
      <c r="K260" s="148"/>
      <c r="L260" s="149"/>
    </row>
    <row r="261" spans="1:12" s="17" customFormat="1" x14ac:dyDescent="0.25">
      <c r="A261" s="229"/>
      <c r="B261" s="55"/>
      <c r="C261" s="55"/>
      <c r="D261" s="55"/>
      <c r="G261" s="202"/>
      <c r="H261" s="144"/>
      <c r="J261" s="145"/>
      <c r="K261" s="148"/>
      <c r="L261" s="149"/>
    </row>
    <row r="262" spans="1:12" s="17" customFormat="1" x14ac:dyDescent="0.25">
      <c r="A262" s="229"/>
      <c r="B262" s="55"/>
      <c r="C262" s="55"/>
      <c r="D262" s="55"/>
      <c r="G262" s="202"/>
      <c r="H262" s="144"/>
      <c r="J262" s="145"/>
      <c r="K262" s="148"/>
      <c r="L262" s="149"/>
    </row>
    <row r="263" spans="1:12" s="17" customFormat="1" x14ac:dyDescent="0.25">
      <c r="A263" s="229"/>
      <c r="B263" s="55"/>
      <c r="C263" s="55"/>
      <c r="D263" s="55"/>
      <c r="G263" s="202"/>
      <c r="H263" s="144"/>
      <c r="J263" s="145"/>
      <c r="K263" s="148"/>
      <c r="L263" s="149"/>
    </row>
    <row r="264" spans="1:12" s="17" customFormat="1" x14ac:dyDescent="0.25">
      <c r="A264" s="229"/>
      <c r="B264" s="55"/>
      <c r="C264" s="55"/>
      <c r="D264" s="55"/>
      <c r="G264" s="202"/>
      <c r="H264" s="144"/>
      <c r="J264" s="145"/>
      <c r="K264" s="148"/>
      <c r="L264" s="149"/>
    </row>
    <row r="265" spans="1:12" s="17" customFormat="1" x14ac:dyDescent="0.25">
      <c r="A265" s="229"/>
      <c r="B265" s="55"/>
      <c r="C265" s="55"/>
      <c r="D265" s="55"/>
      <c r="G265" s="202"/>
      <c r="H265" s="144"/>
      <c r="J265" s="145"/>
      <c r="K265" s="148"/>
      <c r="L265" s="149"/>
    </row>
    <row r="266" spans="1:12" s="17" customFormat="1" x14ac:dyDescent="0.25">
      <c r="A266" s="229"/>
      <c r="B266" s="55"/>
      <c r="C266" s="55"/>
      <c r="D266" s="55"/>
      <c r="G266" s="202"/>
      <c r="H266" s="144"/>
      <c r="J266" s="145"/>
      <c r="K266" s="148"/>
      <c r="L266" s="149"/>
    </row>
    <row r="267" spans="1:12" s="17" customFormat="1" x14ac:dyDescent="0.25">
      <c r="A267" s="229"/>
      <c r="B267" s="55"/>
      <c r="C267" s="55"/>
      <c r="D267" s="55"/>
      <c r="G267" s="202"/>
      <c r="H267" s="144"/>
      <c r="J267" s="145"/>
      <c r="K267" s="148"/>
      <c r="L267" s="149"/>
    </row>
    <row r="268" spans="1:12" s="17" customFormat="1" x14ac:dyDescent="0.25">
      <c r="A268" s="229"/>
      <c r="B268" s="55"/>
      <c r="C268" s="55"/>
      <c r="D268" s="55"/>
      <c r="G268" s="202"/>
      <c r="H268" s="144"/>
      <c r="J268" s="145"/>
      <c r="K268" s="148"/>
      <c r="L268" s="149"/>
    </row>
    <row r="269" spans="1:12" s="17" customFormat="1" x14ac:dyDescent="0.25">
      <c r="A269" s="229"/>
      <c r="B269" s="55"/>
      <c r="C269" s="55"/>
      <c r="D269" s="55"/>
      <c r="G269" s="202"/>
      <c r="H269" s="144"/>
      <c r="J269" s="145"/>
      <c r="K269" s="148"/>
      <c r="L269" s="149"/>
    </row>
    <row r="270" spans="1:12" s="17" customFormat="1" x14ac:dyDescent="0.25">
      <c r="A270" s="229"/>
      <c r="B270" s="55"/>
      <c r="C270" s="55"/>
      <c r="D270" s="55"/>
      <c r="G270" s="202"/>
      <c r="H270" s="144"/>
      <c r="J270" s="145"/>
      <c r="K270" s="148"/>
      <c r="L270" s="149"/>
    </row>
    <row r="271" spans="1:12" s="17" customFormat="1" x14ac:dyDescent="0.25">
      <c r="A271" s="229"/>
      <c r="B271" s="55"/>
      <c r="C271" s="55"/>
      <c r="D271" s="55"/>
      <c r="G271" s="202"/>
      <c r="H271" s="144"/>
      <c r="J271" s="145"/>
      <c r="K271" s="148"/>
      <c r="L271" s="149"/>
    </row>
    <row r="272" spans="1:12" s="17" customFormat="1" x14ac:dyDescent="0.25">
      <c r="A272" s="229"/>
      <c r="B272" s="55"/>
      <c r="C272" s="55"/>
      <c r="D272" s="55"/>
      <c r="G272" s="202"/>
      <c r="H272" s="144"/>
      <c r="J272" s="145"/>
      <c r="K272" s="148"/>
      <c r="L272" s="149"/>
    </row>
    <row r="273" spans="1:12" s="17" customFormat="1" x14ac:dyDescent="0.25">
      <c r="A273" s="229"/>
      <c r="B273" s="55"/>
      <c r="C273" s="55"/>
      <c r="D273" s="55"/>
      <c r="G273" s="202"/>
      <c r="H273" s="144"/>
      <c r="J273" s="145"/>
      <c r="K273" s="148"/>
      <c r="L273" s="149"/>
    </row>
    <row r="274" spans="1:12" s="17" customFormat="1" x14ac:dyDescent="0.25">
      <c r="A274" s="229"/>
      <c r="B274" s="55"/>
      <c r="C274" s="55"/>
      <c r="D274" s="55"/>
      <c r="G274" s="202"/>
      <c r="H274" s="144"/>
      <c r="J274" s="145"/>
      <c r="K274" s="148"/>
      <c r="L274" s="149"/>
    </row>
    <row r="275" spans="1:12" s="17" customFormat="1" x14ac:dyDescent="0.25">
      <c r="A275" s="229"/>
      <c r="B275" s="55"/>
      <c r="C275" s="55"/>
      <c r="D275" s="55"/>
      <c r="G275" s="202"/>
      <c r="H275" s="144"/>
      <c r="J275" s="145"/>
      <c r="K275" s="148"/>
      <c r="L275" s="149"/>
    </row>
    <row r="276" spans="1:12" s="17" customFormat="1" x14ac:dyDescent="0.25">
      <c r="A276" s="229"/>
      <c r="B276" s="55"/>
      <c r="C276" s="55"/>
      <c r="D276" s="55"/>
      <c r="G276" s="202"/>
      <c r="H276" s="144"/>
      <c r="J276" s="145"/>
      <c r="K276" s="148"/>
      <c r="L276" s="149"/>
    </row>
    <row r="277" spans="1:12" s="17" customFormat="1" x14ac:dyDescent="0.25">
      <c r="A277" s="229"/>
      <c r="B277" s="55"/>
      <c r="C277" s="55"/>
      <c r="D277" s="55"/>
      <c r="G277" s="202"/>
      <c r="H277" s="144"/>
      <c r="J277" s="145"/>
      <c r="K277" s="148"/>
      <c r="L277" s="149"/>
    </row>
    <row r="278" spans="1:12" s="17" customFormat="1" x14ac:dyDescent="0.25">
      <c r="A278" s="229"/>
      <c r="B278" s="55"/>
      <c r="C278" s="55"/>
      <c r="D278" s="55"/>
      <c r="G278" s="202"/>
      <c r="H278" s="144"/>
      <c r="J278" s="145"/>
      <c r="K278" s="148"/>
      <c r="L278" s="149"/>
    </row>
    <row r="279" spans="1:12" s="17" customFormat="1" x14ac:dyDescent="0.25">
      <c r="A279" s="229"/>
      <c r="B279" s="55"/>
      <c r="C279" s="55"/>
      <c r="D279" s="55"/>
      <c r="G279" s="202"/>
      <c r="H279" s="144"/>
      <c r="J279" s="145"/>
      <c r="K279" s="148"/>
      <c r="L279" s="149"/>
    </row>
    <row r="280" spans="1:12" s="17" customFormat="1" x14ac:dyDescent="0.25">
      <c r="A280" s="229"/>
      <c r="B280" s="55"/>
      <c r="C280" s="55"/>
      <c r="D280" s="55"/>
      <c r="G280" s="202"/>
      <c r="H280" s="144"/>
      <c r="J280" s="145"/>
      <c r="K280" s="148"/>
      <c r="L280" s="149"/>
    </row>
    <row r="281" spans="1:12" s="17" customFormat="1" x14ac:dyDescent="0.25">
      <c r="A281" s="229"/>
      <c r="B281" s="55"/>
      <c r="C281" s="55"/>
      <c r="D281" s="55"/>
      <c r="G281" s="202"/>
      <c r="H281" s="144"/>
      <c r="J281" s="145"/>
      <c r="K281" s="148"/>
      <c r="L281" s="149"/>
    </row>
    <row r="282" spans="1:12" s="17" customFormat="1" x14ac:dyDescent="0.25">
      <c r="A282" s="229"/>
      <c r="B282" s="55"/>
      <c r="C282" s="55"/>
      <c r="D282" s="55"/>
      <c r="G282" s="202"/>
      <c r="H282" s="144"/>
      <c r="J282" s="145"/>
      <c r="K282" s="148"/>
      <c r="L282" s="149"/>
    </row>
    <row r="283" spans="1:12" s="17" customFormat="1" x14ac:dyDescent="0.25">
      <c r="A283" s="229"/>
      <c r="B283" s="55"/>
      <c r="C283" s="55"/>
      <c r="D283" s="55"/>
      <c r="G283" s="202"/>
      <c r="H283" s="144"/>
      <c r="J283" s="145"/>
      <c r="K283" s="148"/>
      <c r="L283" s="149"/>
    </row>
    <row r="284" spans="1:12" s="17" customFormat="1" x14ac:dyDescent="0.25">
      <c r="A284" s="229"/>
      <c r="B284" s="55"/>
      <c r="C284" s="55"/>
      <c r="D284" s="55"/>
      <c r="G284" s="202"/>
      <c r="H284" s="144"/>
      <c r="J284" s="145"/>
      <c r="K284" s="148"/>
      <c r="L284" s="149"/>
    </row>
    <row r="285" spans="1:12" s="17" customFormat="1" x14ac:dyDescent="0.25">
      <c r="A285" s="229"/>
      <c r="B285" s="55"/>
      <c r="C285" s="55"/>
      <c r="D285" s="55"/>
      <c r="G285" s="202"/>
      <c r="H285" s="144"/>
      <c r="J285" s="145"/>
      <c r="K285" s="148"/>
      <c r="L285" s="149"/>
    </row>
    <row r="286" spans="1:12" s="17" customFormat="1" x14ac:dyDescent="0.25">
      <c r="A286" s="229"/>
      <c r="B286" s="55"/>
      <c r="C286" s="55"/>
      <c r="D286" s="55"/>
      <c r="G286" s="202"/>
      <c r="H286" s="144"/>
      <c r="J286" s="145"/>
      <c r="K286" s="148"/>
      <c r="L286" s="149"/>
    </row>
    <row r="287" spans="1:12" s="17" customFormat="1" x14ac:dyDescent="0.25">
      <c r="A287" s="229"/>
      <c r="B287" s="55"/>
      <c r="C287" s="55"/>
      <c r="D287" s="55"/>
      <c r="G287" s="202"/>
      <c r="H287" s="144"/>
      <c r="J287" s="145"/>
      <c r="K287" s="148"/>
      <c r="L287" s="149"/>
    </row>
    <row r="288" spans="1:12" s="17" customFormat="1" x14ac:dyDescent="0.25">
      <c r="A288" s="229"/>
      <c r="B288" s="55"/>
      <c r="C288" s="55"/>
      <c r="D288" s="55"/>
      <c r="G288" s="202"/>
      <c r="H288" s="144"/>
      <c r="J288" s="145"/>
      <c r="K288" s="148"/>
      <c r="L288" s="149"/>
    </row>
    <row r="289" spans="1:12" s="17" customFormat="1" x14ac:dyDescent="0.25">
      <c r="A289" s="229"/>
      <c r="B289" s="55"/>
      <c r="C289" s="55"/>
      <c r="D289" s="55"/>
      <c r="G289" s="202"/>
      <c r="H289" s="144"/>
      <c r="J289" s="145"/>
      <c r="K289" s="148"/>
      <c r="L289" s="149"/>
    </row>
    <row r="290" spans="1:12" s="17" customFormat="1" x14ac:dyDescent="0.25">
      <c r="A290" s="229"/>
      <c r="B290" s="55"/>
      <c r="C290" s="55"/>
      <c r="D290" s="55"/>
      <c r="G290" s="202"/>
      <c r="H290" s="144"/>
      <c r="J290" s="145"/>
      <c r="K290" s="148"/>
      <c r="L290" s="149"/>
    </row>
    <row r="291" spans="1:12" s="17" customFormat="1" x14ac:dyDescent="0.25">
      <c r="A291" s="229"/>
      <c r="B291" s="55"/>
      <c r="C291" s="55"/>
      <c r="D291" s="55"/>
      <c r="G291" s="202"/>
      <c r="H291" s="144"/>
      <c r="J291" s="145"/>
      <c r="K291" s="148"/>
      <c r="L291" s="149"/>
    </row>
    <row r="292" spans="1:12" s="17" customFormat="1" x14ac:dyDescent="0.25">
      <c r="A292" s="229"/>
      <c r="B292" s="55"/>
      <c r="C292" s="55"/>
      <c r="D292" s="55"/>
      <c r="G292" s="202"/>
      <c r="H292" s="144"/>
      <c r="J292" s="145"/>
      <c r="K292" s="148"/>
      <c r="L292" s="149"/>
    </row>
    <row r="293" spans="1:12" s="17" customFormat="1" x14ac:dyDescent="0.25">
      <c r="A293" s="229"/>
      <c r="B293" s="55"/>
      <c r="C293" s="55"/>
      <c r="D293" s="55"/>
      <c r="G293" s="202"/>
      <c r="H293" s="144"/>
      <c r="J293" s="145"/>
      <c r="K293" s="148"/>
      <c r="L293" s="149"/>
    </row>
    <row r="294" spans="1:12" s="17" customFormat="1" x14ac:dyDescent="0.25">
      <c r="A294" s="229"/>
      <c r="B294" s="55"/>
      <c r="C294" s="55"/>
      <c r="D294" s="55"/>
      <c r="G294" s="202"/>
      <c r="H294" s="144"/>
      <c r="J294" s="145"/>
      <c r="K294" s="148"/>
      <c r="L294" s="149"/>
    </row>
    <row r="295" spans="1:12" s="17" customFormat="1" x14ac:dyDescent="0.25">
      <c r="A295" s="229"/>
      <c r="B295" s="55"/>
      <c r="C295" s="55"/>
      <c r="D295" s="55"/>
      <c r="G295" s="202"/>
      <c r="H295" s="144"/>
      <c r="J295" s="145"/>
      <c r="K295" s="148"/>
      <c r="L295" s="149"/>
    </row>
    <row r="296" spans="1:12" s="17" customFormat="1" x14ac:dyDescent="0.25">
      <c r="A296" s="229"/>
      <c r="B296" s="55"/>
      <c r="C296" s="55"/>
      <c r="D296" s="55"/>
      <c r="G296" s="202"/>
      <c r="H296" s="144"/>
      <c r="J296" s="145"/>
      <c r="K296" s="148"/>
      <c r="L296" s="149"/>
    </row>
    <row r="297" spans="1:12" s="17" customFormat="1" x14ac:dyDescent="0.25">
      <c r="A297" s="229"/>
      <c r="B297" s="55"/>
      <c r="C297" s="55"/>
      <c r="D297" s="55"/>
      <c r="G297" s="202"/>
      <c r="H297" s="144"/>
      <c r="J297" s="145"/>
      <c r="K297" s="148"/>
      <c r="L297" s="149"/>
    </row>
    <row r="298" spans="1:12" s="17" customFormat="1" x14ac:dyDescent="0.25">
      <c r="A298" s="229"/>
      <c r="B298" s="55"/>
      <c r="C298" s="55"/>
      <c r="D298" s="55"/>
      <c r="G298" s="202"/>
      <c r="H298" s="144"/>
      <c r="J298" s="145"/>
      <c r="K298" s="148"/>
      <c r="L298" s="149"/>
    </row>
    <row r="299" spans="1:12" s="17" customFormat="1" x14ac:dyDescent="0.25">
      <c r="A299" s="229"/>
      <c r="B299" s="55"/>
      <c r="C299" s="55"/>
      <c r="D299" s="55"/>
      <c r="G299" s="202"/>
      <c r="H299" s="144"/>
      <c r="J299" s="145"/>
      <c r="K299" s="148"/>
      <c r="L299" s="149"/>
    </row>
    <row r="300" spans="1:12" s="17" customFormat="1" x14ac:dyDescent="0.25">
      <c r="A300" s="229"/>
      <c r="B300" s="55"/>
      <c r="C300" s="55"/>
      <c r="D300" s="55"/>
      <c r="G300" s="202"/>
      <c r="H300" s="144"/>
      <c r="J300" s="145"/>
      <c r="K300" s="148"/>
      <c r="L300" s="149"/>
    </row>
    <row r="301" spans="1:12" s="17" customFormat="1" x14ac:dyDescent="0.25">
      <c r="A301" s="229"/>
      <c r="B301" s="55"/>
      <c r="C301" s="55"/>
      <c r="D301" s="55"/>
      <c r="G301" s="202"/>
      <c r="H301" s="144"/>
      <c r="J301" s="145"/>
      <c r="K301" s="148"/>
      <c r="L301" s="149"/>
    </row>
    <row r="302" spans="1:12" s="17" customFormat="1" x14ac:dyDescent="0.25">
      <c r="A302" s="229"/>
      <c r="B302" s="55"/>
      <c r="C302" s="55"/>
      <c r="D302" s="55"/>
      <c r="G302" s="202"/>
      <c r="H302" s="144"/>
      <c r="J302" s="145"/>
      <c r="K302" s="148"/>
      <c r="L302" s="149"/>
    </row>
    <row r="303" spans="1:12" s="17" customFormat="1" x14ac:dyDescent="0.25">
      <c r="A303" s="229"/>
      <c r="B303" s="55"/>
      <c r="C303" s="55"/>
      <c r="D303" s="55"/>
      <c r="G303" s="202"/>
      <c r="H303" s="144"/>
      <c r="J303" s="145"/>
      <c r="K303" s="148"/>
      <c r="L303" s="149"/>
    </row>
    <row r="304" spans="1:12" s="17" customFormat="1" x14ac:dyDescent="0.25">
      <c r="A304" s="229"/>
      <c r="B304" s="55"/>
      <c r="C304" s="55"/>
      <c r="D304" s="55"/>
      <c r="G304" s="202"/>
      <c r="H304" s="144"/>
      <c r="J304" s="145"/>
      <c r="K304" s="148"/>
      <c r="L304" s="149"/>
    </row>
    <row r="305" spans="1:12" s="17" customFormat="1" x14ac:dyDescent="0.25">
      <c r="A305" s="229"/>
      <c r="B305" s="55"/>
      <c r="C305" s="55"/>
      <c r="D305" s="55"/>
      <c r="G305" s="202"/>
      <c r="H305" s="144"/>
      <c r="J305" s="145"/>
      <c r="K305" s="148"/>
      <c r="L305" s="149"/>
    </row>
    <row r="306" spans="1:12" s="17" customFormat="1" x14ac:dyDescent="0.25">
      <c r="A306" s="229"/>
      <c r="B306" s="55"/>
      <c r="C306" s="55"/>
      <c r="D306" s="55"/>
      <c r="G306" s="202"/>
      <c r="H306" s="144"/>
      <c r="J306" s="145"/>
      <c r="K306" s="148"/>
      <c r="L306" s="149"/>
    </row>
    <row r="307" spans="1:12" s="17" customFormat="1" x14ac:dyDescent="0.25">
      <c r="A307" s="229"/>
      <c r="B307" s="55"/>
      <c r="C307" s="55"/>
      <c r="D307" s="55"/>
      <c r="G307" s="202"/>
      <c r="H307" s="144"/>
      <c r="J307" s="145"/>
      <c r="K307" s="148"/>
      <c r="L307" s="149"/>
    </row>
    <row r="308" spans="1:12" s="17" customFormat="1" x14ac:dyDescent="0.25">
      <c r="A308" s="229"/>
      <c r="B308" s="55"/>
      <c r="C308" s="55"/>
      <c r="D308" s="55"/>
      <c r="G308" s="202"/>
      <c r="H308" s="144"/>
      <c r="J308" s="145"/>
      <c r="K308" s="148"/>
      <c r="L308" s="149"/>
    </row>
    <row r="309" spans="1:12" s="17" customFormat="1" x14ac:dyDescent="0.25">
      <c r="A309" s="229"/>
      <c r="B309" s="55"/>
      <c r="C309" s="55"/>
      <c r="D309" s="55"/>
      <c r="G309" s="202"/>
      <c r="H309" s="144"/>
      <c r="J309" s="145"/>
      <c r="K309" s="148"/>
      <c r="L309" s="149"/>
    </row>
    <row r="310" spans="1:12" s="17" customFormat="1" x14ac:dyDescent="0.25">
      <c r="A310" s="229"/>
      <c r="B310" s="55"/>
      <c r="C310" s="55"/>
      <c r="D310" s="55"/>
      <c r="G310" s="202"/>
      <c r="H310" s="144"/>
      <c r="J310" s="145"/>
      <c r="K310" s="148"/>
      <c r="L310" s="149"/>
    </row>
    <row r="311" spans="1:12" s="17" customFormat="1" x14ac:dyDescent="0.25">
      <c r="A311" s="229"/>
      <c r="B311" s="55"/>
      <c r="C311" s="55"/>
      <c r="D311" s="55"/>
      <c r="G311" s="202"/>
      <c r="H311" s="144"/>
      <c r="J311" s="145"/>
      <c r="K311" s="148"/>
      <c r="L311" s="149"/>
    </row>
    <row r="312" spans="1:12" s="17" customFormat="1" x14ac:dyDescent="0.25">
      <c r="A312" s="229"/>
      <c r="B312" s="55"/>
      <c r="C312" s="55"/>
      <c r="D312" s="55"/>
      <c r="G312" s="202"/>
      <c r="H312" s="144"/>
      <c r="J312" s="145"/>
      <c r="K312" s="148"/>
      <c r="L312" s="149"/>
    </row>
    <row r="313" spans="1:12" s="17" customFormat="1" x14ac:dyDescent="0.25">
      <c r="A313" s="229"/>
      <c r="B313" s="55"/>
      <c r="C313" s="55"/>
      <c r="D313" s="55"/>
      <c r="G313" s="202"/>
      <c r="H313" s="144"/>
      <c r="J313" s="145"/>
      <c r="K313" s="148"/>
      <c r="L313" s="149"/>
    </row>
    <row r="314" spans="1:12" s="17" customFormat="1" x14ac:dyDescent="0.25">
      <c r="A314" s="229"/>
      <c r="B314" s="55"/>
      <c r="C314" s="55"/>
      <c r="D314" s="55"/>
      <c r="G314" s="202"/>
      <c r="H314" s="144"/>
      <c r="J314" s="145"/>
      <c r="K314" s="148"/>
      <c r="L314" s="149"/>
    </row>
    <row r="315" spans="1:12" s="17" customFormat="1" x14ac:dyDescent="0.25">
      <c r="A315" s="229"/>
      <c r="B315" s="55"/>
      <c r="C315" s="55"/>
      <c r="D315" s="55"/>
      <c r="G315" s="202"/>
      <c r="H315" s="144"/>
      <c r="J315" s="145"/>
      <c r="K315" s="148"/>
      <c r="L315" s="149"/>
    </row>
    <row r="316" spans="1:12" s="17" customFormat="1" x14ac:dyDescent="0.25">
      <c r="A316" s="229"/>
      <c r="B316" s="55"/>
      <c r="C316" s="55"/>
      <c r="D316" s="55"/>
      <c r="G316" s="202"/>
      <c r="H316" s="144"/>
      <c r="J316" s="145"/>
      <c r="K316" s="148"/>
      <c r="L316" s="149"/>
    </row>
    <row r="317" spans="1:12" s="17" customFormat="1" x14ac:dyDescent="0.25">
      <c r="A317" s="229"/>
      <c r="B317" s="55"/>
      <c r="C317" s="55"/>
      <c r="D317" s="55"/>
      <c r="G317" s="202"/>
      <c r="H317" s="144"/>
      <c r="J317" s="145"/>
      <c r="K317" s="148"/>
      <c r="L317" s="149"/>
    </row>
    <row r="318" spans="1:12" s="17" customFormat="1" x14ac:dyDescent="0.25">
      <c r="A318" s="229"/>
      <c r="B318" s="55"/>
      <c r="C318" s="55"/>
      <c r="D318" s="55"/>
      <c r="G318" s="202"/>
      <c r="H318" s="144"/>
      <c r="J318" s="145"/>
      <c r="K318" s="148"/>
      <c r="L318" s="149"/>
    </row>
    <row r="319" spans="1:12" s="17" customFormat="1" x14ac:dyDescent="0.25">
      <c r="A319" s="229"/>
      <c r="B319" s="55"/>
      <c r="C319" s="55"/>
      <c r="D319" s="55"/>
      <c r="G319" s="202"/>
      <c r="H319" s="144"/>
      <c r="J319" s="145"/>
      <c r="K319" s="148"/>
      <c r="L319" s="149"/>
    </row>
    <row r="320" spans="1:12" s="17" customFormat="1" x14ac:dyDescent="0.25">
      <c r="A320" s="229"/>
      <c r="B320" s="55"/>
      <c r="C320" s="55"/>
      <c r="D320" s="55"/>
      <c r="G320" s="202"/>
      <c r="H320" s="144"/>
      <c r="J320" s="145"/>
      <c r="K320" s="148"/>
      <c r="L320" s="149"/>
    </row>
    <row r="321" spans="1:12" s="17" customFormat="1" x14ac:dyDescent="0.25">
      <c r="A321" s="229"/>
      <c r="B321" s="55"/>
      <c r="C321" s="55"/>
      <c r="D321" s="55"/>
      <c r="G321" s="202"/>
      <c r="H321" s="144"/>
      <c r="J321" s="145"/>
      <c r="K321" s="148"/>
      <c r="L321" s="149"/>
    </row>
    <row r="322" spans="1:12" s="17" customFormat="1" x14ac:dyDescent="0.25">
      <c r="A322" s="229"/>
      <c r="B322" s="55"/>
      <c r="C322" s="55"/>
      <c r="D322" s="55"/>
      <c r="G322" s="202"/>
      <c r="H322" s="144"/>
      <c r="J322" s="145"/>
      <c r="K322" s="148"/>
      <c r="L322" s="149"/>
    </row>
    <row r="323" spans="1:12" s="17" customFormat="1" x14ac:dyDescent="0.25">
      <c r="A323" s="229"/>
      <c r="B323" s="55"/>
      <c r="C323" s="55"/>
      <c r="D323" s="55"/>
      <c r="G323" s="202"/>
      <c r="H323" s="144"/>
      <c r="J323" s="145"/>
      <c r="K323" s="148"/>
      <c r="L323" s="149"/>
    </row>
    <row r="324" spans="1:12" s="17" customFormat="1" x14ac:dyDescent="0.25">
      <c r="A324" s="229"/>
      <c r="B324" s="55"/>
      <c r="C324" s="55"/>
      <c r="D324" s="55"/>
      <c r="G324" s="202"/>
      <c r="H324" s="144"/>
      <c r="J324" s="145"/>
      <c r="K324" s="148"/>
      <c r="L324" s="149"/>
    </row>
    <row r="325" spans="1:12" s="17" customFormat="1" x14ac:dyDescent="0.25">
      <c r="A325" s="229"/>
      <c r="B325" s="55"/>
      <c r="C325" s="55"/>
      <c r="D325" s="55"/>
      <c r="G325" s="202"/>
      <c r="H325" s="144"/>
      <c r="J325" s="145"/>
      <c r="K325" s="148"/>
      <c r="L325" s="149"/>
    </row>
    <row r="326" spans="1:12" s="17" customFormat="1" x14ac:dyDescent="0.25">
      <c r="A326" s="229"/>
      <c r="B326" s="55"/>
      <c r="C326" s="55"/>
      <c r="D326" s="55"/>
      <c r="G326" s="202"/>
      <c r="H326" s="144"/>
      <c r="J326" s="145"/>
      <c r="K326" s="148"/>
      <c r="L326" s="149"/>
    </row>
    <row r="327" spans="1:12" s="17" customFormat="1" x14ac:dyDescent="0.25">
      <c r="A327" s="229"/>
      <c r="B327" s="55"/>
      <c r="C327" s="55"/>
      <c r="D327" s="55"/>
      <c r="G327" s="202"/>
      <c r="H327" s="144"/>
      <c r="J327" s="145"/>
      <c r="K327" s="148"/>
      <c r="L327" s="149"/>
    </row>
    <row r="328" spans="1:12" s="17" customFormat="1" x14ac:dyDescent="0.25">
      <c r="A328" s="229"/>
      <c r="B328" s="55"/>
      <c r="C328" s="55"/>
      <c r="D328" s="55"/>
      <c r="G328" s="202"/>
      <c r="H328" s="144"/>
      <c r="J328" s="145"/>
      <c r="K328" s="148"/>
      <c r="L328" s="149"/>
    </row>
    <row r="329" spans="1:12" s="17" customFormat="1" x14ac:dyDescent="0.25">
      <c r="A329" s="229"/>
      <c r="B329" s="55"/>
      <c r="C329" s="55"/>
      <c r="D329" s="55"/>
      <c r="G329" s="202"/>
      <c r="H329" s="144"/>
      <c r="J329" s="145"/>
      <c r="K329" s="148"/>
      <c r="L329" s="149"/>
    </row>
    <row r="330" spans="1:12" s="17" customFormat="1" x14ac:dyDescent="0.25">
      <c r="A330" s="229"/>
      <c r="B330" s="55"/>
      <c r="C330" s="55"/>
      <c r="D330" s="55"/>
      <c r="G330" s="202"/>
      <c r="H330" s="144"/>
      <c r="J330" s="145"/>
      <c r="K330" s="148"/>
      <c r="L330" s="149"/>
    </row>
    <row r="331" spans="1:12" s="17" customFormat="1" x14ac:dyDescent="0.25">
      <c r="A331" s="229"/>
      <c r="B331" s="55"/>
      <c r="C331" s="55"/>
      <c r="D331" s="55"/>
      <c r="G331" s="202"/>
      <c r="H331" s="144"/>
      <c r="J331" s="145"/>
      <c r="K331" s="148"/>
      <c r="L331" s="149"/>
    </row>
    <row r="332" spans="1:12" s="17" customFormat="1" x14ac:dyDescent="0.25">
      <c r="A332" s="229"/>
      <c r="B332" s="55"/>
      <c r="C332" s="55"/>
      <c r="D332" s="55"/>
      <c r="G332" s="202"/>
      <c r="H332" s="144"/>
      <c r="J332" s="145"/>
      <c r="K332" s="148"/>
      <c r="L332" s="149"/>
    </row>
    <row r="333" spans="1:12" s="17" customFormat="1" x14ac:dyDescent="0.25">
      <c r="A333" s="229"/>
      <c r="B333" s="55"/>
      <c r="C333" s="55"/>
      <c r="D333" s="55"/>
      <c r="G333" s="202"/>
      <c r="H333" s="144"/>
      <c r="J333" s="145"/>
      <c r="K333" s="148"/>
      <c r="L333" s="149"/>
    </row>
    <row r="334" spans="1:12" s="17" customFormat="1" x14ac:dyDescent="0.25">
      <c r="A334" s="229"/>
      <c r="B334" s="55"/>
      <c r="C334" s="55"/>
      <c r="D334" s="55"/>
      <c r="G334" s="202"/>
      <c r="H334" s="144"/>
      <c r="J334" s="145"/>
      <c r="K334" s="148"/>
      <c r="L334" s="149"/>
    </row>
    <row r="335" spans="1:12" s="17" customFormat="1" x14ac:dyDescent="0.25">
      <c r="A335" s="229"/>
      <c r="B335" s="55"/>
      <c r="C335" s="55"/>
      <c r="D335" s="55"/>
      <c r="G335" s="202"/>
      <c r="H335" s="144"/>
      <c r="J335" s="145"/>
      <c r="K335" s="148"/>
      <c r="L335" s="149"/>
    </row>
    <row r="336" spans="1:12" s="17" customFormat="1" x14ac:dyDescent="0.25">
      <c r="A336" s="229"/>
      <c r="B336" s="55"/>
      <c r="C336" s="55"/>
      <c r="D336" s="55"/>
      <c r="G336" s="202"/>
      <c r="H336" s="144"/>
      <c r="J336" s="145"/>
      <c r="K336" s="148"/>
      <c r="L336" s="149"/>
    </row>
    <row r="337" spans="1:12" s="17" customFormat="1" x14ac:dyDescent="0.25">
      <c r="A337" s="229"/>
      <c r="B337" s="55"/>
      <c r="C337" s="55"/>
      <c r="D337" s="55"/>
      <c r="G337" s="202"/>
      <c r="H337" s="144"/>
      <c r="J337" s="145"/>
      <c r="K337" s="148"/>
      <c r="L337" s="149"/>
    </row>
    <row r="338" spans="1:12" s="17" customFormat="1" x14ac:dyDescent="0.25">
      <c r="A338" s="229"/>
      <c r="B338" s="55"/>
      <c r="C338" s="55"/>
      <c r="D338" s="55"/>
      <c r="G338" s="202"/>
      <c r="H338" s="144"/>
      <c r="J338" s="145"/>
      <c r="K338" s="148"/>
      <c r="L338" s="149"/>
    </row>
    <row r="339" spans="1:12" s="17" customFormat="1" x14ac:dyDescent="0.25">
      <c r="A339" s="229"/>
      <c r="B339" s="55"/>
      <c r="C339" s="55"/>
      <c r="D339" s="55"/>
      <c r="G339" s="202"/>
      <c r="H339" s="144"/>
      <c r="J339" s="145"/>
      <c r="K339" s="148"/>
      <c r="L339" s="149"/>
    </row>
    <row r="340" spans="1:12" s="17" customFormat="1" x14ac:dyDescent="0.25">
      <c r="A340" s="229"/>
      <c r="B340" s="55"/>
      <c r="C340" s="55"/>
      <c r="D340" s="55"/>
      <c r="G340" s="202"/>
      <c r="H340" s="144"/>
      <c r="J340" s="145"/>
      <c r="K340" s="148"/>
      <c r="L340" s="149"/>
    </row>
    <row r="341" spans="1:12" s="17" customFormat="1" x14ac:dyDescent="0.25">
      <c r="A341" s="229"/>
      <c r="B341" s="55"/>
      <c r="C341" s="55"/>
      <c r="D341" s="55"/>
      <c r="G341" s="202"/>
      <c r="H341" s="144"/>
      <c r="J341" s="145"/>
      <c r="K341" s="148"/>
      <c r="L341" s="149"/>
    </row>
    <row r="342" spans="1:12" s="17" customFormat="1" x14ac:dyDescent="0.25">
      <c r="A342" s="229"/>
      <c r="B342" s="55"/>
      <c r="C342" s="55"/>
      <c r="D342" s="55"/>
      <c r="G342" s="202"/>
      <c r="H342" s="144"/>
      <c r="J342" s="145"/>
      <c r="K342" s="148"/>
      <c r="L342" s="149"/>
    </row>
    <row r="343" spans="1:12" s="17" customFormat="1" x14ac:dyDescent="0.25">
      <c r="A343" s="229"/>
      <c r="B343" s="55"/>
      <c r="C343" s="55"/>
      <c r="D343" s="55"/>
      <c r="G343" s="202"/>
      <c r="H343" s="144"/>
      <c r="J343" s="145"/>
      <c r="K343" s="148"/>
      <c r="L343" s="149"/>
    </row>
    <row r="344" spans="1:12" s="17" customFormat="1" x14ac:dyDescent="0.25">
      <c r="A344" s="229"/>
      <c r="B344" s="55"/>
      <c r="C344" s="55"/>
      <c r="D344" s="55"/>
      <c r="G344" s="202"/>
      <c r="H344" s="144"/>
      <c r="J344" s="145"/>
      <c r="K344" s="148"/>
      <c r="L344" s="149"/>
    </row>
    <row r="345" spans="1:12" s="17" customFormat="1" x14ac:dyDescent="0.25">
      <c r="A345" s="229"/>
      <c r="B345" s="55"/>
      <c r="C345" s="55"/>
      <c r="D345" s="55"/>
      <c r="G345" s="202"/>
      <c r="H345" s="144"/>
      <c r="J345" s="145"/>
      <c r="K345" s="148"/>
      <c r="L345" s="149"/>
    </row>
    <row r="346" spans="1:12" s="17" customFormat="1" x14ac:dyDescent="0.25">
      <c r="A346" s="229"/>
      <c r="B346" s="55"/>
      <c r="C346" s="55"/>
      <c r="D346" s="55"/>
      <c r="G346" s="202"/>
      <c r="H346" s="144"/>
      <c r="J346" s="145"/>
      <c r="K346" s="148"/>
      <c r="L346" s="149"/>
    </row>
    <row r="347" spans="1:12" s="17" customFormat="1" x14ac:dyDescent="0.25">
      <c r="A347" s="229"/>
      <c r="B347" s="55"/>
      <c r="C347" s="55"/>
      <c r="D347" s="55"/>
      <c r="G347" s="202"/>
      <c r="H347" s="144"/>
      <c r="J347" s="145"/>
      <c r="K347" s="148"/>
      <c r="L347" s="149"/>
    </row>
    <row r="348" spans="1:12" s="17" customFormat="1" x14ac:dyDescent="0.25">
      <c r="A348" s="229"/>
      <c r="B348" s="55"/>
      <c r="C348" s="55"/>
      <c r="D348" s="55"/>
      <c r="G348" s="202"/>
      <c r="H348" s="144"/>
      <c r="J348" s="145"/>
      <c r="K348" s="148"/>
      <c r="L348" s="149"/>
    </row>
    <row r="349" spans="1:12" s="17" customFormat="1" x14ac:dyDescent="0.25">
      <c r="A349" s="229"/>
      <c r="B349" s="55"/>
      <c r="C349" s="55"/>
      <c r="D349" s="55"/>
      <c r="G349" s="202"/>
      <c r="H349" s="144"/>
      <c r="J349" s="145"/>
      <c r="K349" s="148"/>
      <c r="L349" s="149"/>
    </row>
    <row r="350" spans="1:12" s="17" customFormat="1" x14ac:dyDescent="0.25">
      <c r="A350" s="229"/>
      <c r="B350" s="55"/>
      <c r="C350" s="55"/>
      <c r="D350" s="55"/>
      <c r="G350" s="202"/>
      <c r="H350" s="144"/>
      <c r="J350" s="145"/>
      <c r="K350" s="148"/>
      <c r="L350" s="149"/>
    </row>
    <row r="351" spans="1:12" s="17" customFormat="1" x14ac:dyDescent="0.25">
      <c r="A351" s="229"/>
      <c r="B351" s="55"/>
      <c r="C351" s="55"/>
      <c r="D351" s="55"/>
      <c r="G351" s="202"/>
      <c r="H351" s="144"/>
      <c r="J351" s="145"/>
      <c r="K351" s="148"/>
      <c r="L351" s="149"/>
    </row>
    <row r="352" spans="1:12" s="17" customFormat="1" x14ac:dyDescent="0.25">
      <c r="A352" s="229"/>
      <c r="B352" s="55"/>
      <c r="C352" s="55"/>
      <c r="D352" s="55"/>
      <c r="G352" s="202"/>
      <c r="H352" s="144"/>
      <c r="J352" s="145"/>
      <c r="K352" s="148"/>
      <c r="L352" s="149"/>
    </row>
    <row r="353" spans="1:12" s="17" customFormat="1" x14ac:dyDescent="0.25">
      <c r="A353" s="229"/>
      <c r="B353" s="55"/>
      <c r="C353" s="55"/>
      <c r="D353" s="55"/>
      <c r="G353" s="202"/>
      <c r="H353" s="144"/>
      <c r="J353" s="145"/>
      <c r="K353" s="148"/>
      <c r="L353" s="149"/>
    </row>
    <row r="354" spans="1:12" s="17" customFormat="1" x14ac:dyDescent="0.25">
      <c r="A354" s="229"/>
      <c r="B354" s="55"/>
      <c r="C354" s="55"/>
      <c r="D354" s="55"/>
      <c r="G354" s="202"/>
      <c r="H354" s="144"/>
      <c r="J354" s="145"/>
      <c r="K354" s="148"/>
      <c r="L354" s="149"/>
    </row>
    <row r="355" spans="1:12" s="17" customFormat="1" x14ac:dyDescent="0.25">
      <c r="A355" s="229"/>
      <c r="B355" s="55"/>
      <c r="C355" s="55"/>
      <c r="D355" s="55"/>
      <c r="G355" s="202"/>
      <c r="H355" s="144"/>
      <c r="J355" s="145"/>
      <c r="K355" s="148"/>
      <c r="L355" s="149"/>
    </row>
    <row r="356" spans="1:12" s="17" customFormat="1" x14ac:dyDescent="0.25">
      <c r="A356" s="229"/>
      <c r="B356" s="55"/>
      <c r="C356" s="55"/>
      <c r="D356" s="55"/>
      <c r="G356" s="202"/>
      <c r="H356" s="144"/>
      <c r="J356" s="145"/>
      <c r="K356" s="148"/>
      <c r="L356" s="149"/>
    </row>
    <row r="357" spans="1:12" s="17" customFormat="1" x14ac:dyDescent="0.25">
      <c r="A357" s="229"/>
      <c r="B357" s="55"/>
      <c r="C357" s="55"/>
      <c r="D357" s="55"/>
      <c r="G357" s="202"/>
      <c r="H357" s="144"/>
      <c r="J357" s="145"/>
      <c r="K357" s="148"/>
      <c r="L357" s="149"/>
    </row>
    <row r="358" spans="1:12" s="17" customFormat="1" x14ac:dyDescent="0.25">
      <c r="A358" s="229"/>
      <c r="B358" s="55"/>
      <c r="C358" s="55"/>
      <c r="D358" s="55"/>
      <c r="G358" s="202"/>
      <c r="H358" s="144"/>
      <c r="J358" s="145"/>
      <c r="K358" s="148"/>
      <c r="L358" s="149"/>
    </row>
    <row r="359" spans="1:12" s="17" customFormat="1" x14ac:dyDescent="0.25">
      <c r="A359" s="229"/>
      <c r="B359" s="55"/>
      <c r="C359" s="55"/>
      <c r="D359" s="55"/>
      <c r="G359" s="202"/>
      <c r="H359" s="144"/>
      <c r="J359" s="145"/>
      <c r="K359" s="148"/>
      <c r="L359" s="149"/>
    </row>
    <row r="360" spans="1:12" s="17" customFormat="1" x14ac:dyDescent="0.25">
      <c r="A360" s="229"/>
      <c r="B360" s="55"/>
      <c r="C360" s="55"/>
      <c r="D360" s="55"/>
      <c r="G360" s="202"/>
      <c r="H360" s="144"/>
      <c r="J360" s="145"/>
      <c r="K360" s="148"/>
      <c r="L360" s="149"/>
    </row>
    <row r="361" spans="1:12" s="17" customFormat="1" x14ac:dyDescent="0.25">
      <c r="A361" s="229"/>
      <c r="B361" s="55"/>
      <c r="C361" s="55"/>
      <c r="D361" s="55"/>
      <c r="G361" s="202"/>
      <c r="H361" s="144"/>
      <c r="J361" s="145"/>
      <c r="K361" s="148"/>
      <c r="L361" s="149"/>
    </row>
    <row r="362" spans="1:12" s="17" customFormat="1" x14ac:dyDescent="0.25">
      <c r="A362" s="229"/>
      <c r="B362" s="55"/>
      <c r="C362" s="55"/>
      <c r="D362" s="55"/>
      <c r="G362" s="202"/>
      <c r="H362" s="144"/>
      <c r="J362" s="145"/>
      <c r="K362" s="148"/>
      <c r="L362" s="149"/>
    </row>
    <row r="363" spans="1:12" s="17" customFormat="1" x14ac:dyDescent="0.25">
      <c r="A363" s="229"/>
      <c r="B363" s="55"/>
      <c r="C363" s="55"/>
      <c r="D363" s="55"/>
      <c r="G363" s="202"/>
      <c r="H363" s="144"/>
      <c r="J363" s="145"/>
      <c r="K363" s="148"/>
      <c r="L363" s="149"/>
    </row>
    <row r="364" spans="1:12" s="17" customFormat="1" x14ac:dyDescent="0.25">
      <c r="A364" s="229"/>
      <c r="B364" s="55"/>
      <c r="C364" s="55"/>
      <c r="D364" s="55"/>
      <c r="G364" s="202"/>
      <c r="H364" s="144"/>
      <c r="J364" s="145"/>
      <c r="K364" s="148"/>
      <c r="L364" s="149"/>
    </row>
    <row r="365" spans="1:12" s="17" customFormat="1" x14ac:dyDescent="0.25">
      <c r="A365" s="229"/>
      <c r="B365" s="55"/>
      <c r="C365" s="55"/>
      <c r="D365" s="55"/>
      <c r="G365" s="202"/>
      <c r="H365" s="144"/>
      <c r="J365" s="145"/>
      <c r="K365" s="148"/>
      <c r="L365" s="149"/>
    </row>
    <row r="366" spans="1:12" s="17" customFormat="1" x14ac:dyDescent="0.25">
      <c r="A366" s="229"/>
      <c r="B366" s="55"/>
      <c r="C366" s="55"/>
      <c r="D366" s="55"/>
      <c r="G366" s="202"/>
      <c r="H366" s="144"/>
      <c r="J366" s="145"/>
      <c r="K366" s="148"/>
      <c r="L366" s="149"/>
    </row>
    <row r="367" spans="1:12" s="17" customFormat="1" x14ac:dyDescent="0.25">
      <c r="A367" s="229"/>
      <c r="B367" s="55"/>
      <c r="C367" s="55"/>
      <c r="D367" s="55"/>
      <c r="G367" s="202"/>
      <c r="H367" s="144"/>
      <c r="J367" s="145"/>
      <c r="K367" s="148"/>
      <c r="L367" s="149"/>
    </row>
    <row r="368" spans="1:12" s="17" customFormat="1" x14ac:dyDescent="0.25">
      <c r="A368" s="229"/>
      <c r="B368" s="55"/>
      <c r="C368" s="55"/>
      <c r="D368" s="55"/>
      <c r="G368" s="202"/>
      <c r="H368" s="144"/>
      <c r="J368" s="145"/>
      <c r="K368" s="148"/>
      <c r="L368" s="149"/>
    </row>
    <row r="369" spans="1:12" s="17" customFormat="1" x14ac:dyDescent="0.25">
      <c r="A369" s="229"/>
      <c r="B369" s="55"/>
      <c r="C369" s="55"/>
      <c r="D369" s="55"/>
      <c r="G369" s="202"/>
      <c r="H369" s="144"/>
      <c r="J369" s="145"/>
      <c r="K369" s="148"/>
      <c r="L369" s="149"/>
    </row>
    <row r="370" spans="1:12" s="17" customFormat="1" x14ac:dyDescent="0.25">
      <c r="A370" s="229"/>
      <c r="B370" s="55"/>
      <c r="C370" s="55"/>
      <c r="D370" s="55"/>
      <c r="G370" s="202"/>
      <c r="H370" s="144"/>
      <c r="J370" s="145"/>
      <c r="K370" s="148"/>
      <c r="L370" s="149"/>
    </row>
    <row r="371" spans="1:12" s="17" customFormat="1" x14ac:dyDescent="0.25">
      <c r="A371" s="229"/>
      <c r="B371" s="55"/>
      <c r="C371" s="55"/>
      <c r="D371" s="55"/>
      <c r="G371" s="202"/>
      <c r="H371" s="144"/>
      <c r="J371" s="145"/>
      <c r="K371" s="148"/>
      <c r="L371" s="149"/>
    </row>
    <row r="372" spans="1:12" s="17" customFormat="1" x14ac:dyDescent="0.25">
      <c r="A372" s="229"/>
      <c r="B372" s="55"/>
      <c r="C372" s="55"/>
      <c r="D372" s="55"/>
      <c r="G372" s="202"/>
      <c r="H372" s="144"/>
      <c r="J372" s="145"/>
      <c r="K372" s="148"/>
      <c r="L372" s="149"/>
    </row>
    <row r="373" spans="1:12" s="17" customFormat="1" x14ac:dyDescent="0.25">
      <c r="A373" s="229"/>
      <c r="B373" s="55"/>
      <c r="C373" s="55"/>
      <c r="D373" s="55"/>
      <c r="G373" s="202"/>
      <c r="H373" s="144"/>
      <c r="J373" s="145"/>
      <c r="K373" s="148"/>
      <c r="L373" s="149"/>
    </row>
    <row r="374" spans="1:12" s="17" customFormat="1" x14ac:dyDescent="0.25">
      <c r="A374" s="229"/>
      <c r="B374" s="55"/>
      <c r="C374" s="55"/>
      <c r="D374" s="55"/>
      <c r="G374" s="202"/>
      <c r="H374" s="144"/>
      <c r="J374" s="145"/>
      <c r="K374" s="148"/>
      <c r="L374" s="149"/>
    </row>
    <row r="375" spans="1:12" s="17" customFormat="1" x14ac:dyDescent="0.25">
      <c r="A375" s="229"/>
      <c r="B375" s="55"/>
      <c r="C375" s="55"/>
      <c r="D375" s="55"/>
      <c r="G375" s="202"/>
      <c r="H375" s="144"/>
      <c r="J375" s="145"/>
      <c r="K375" s="148"/>
      <c r="L375" s="149"/>
    </row>
    <row r="376" spans="1:12" s="17" customFormat="1" x14ac:dyDescent="0.25">
      <c r="A376" s="229"/>
      <c r="B376" s="55"/>
      <c r="C376" s="55"/>
      <c r="D376" s="55"/>
      <c r="G376" s="202"/>
      <c r="H376" s="144"/>
      <c r="J376" s="145"/>
      <c r="K376" s="148"/>
      <c r="L376" s="149"/>
    </row>
    <row r="377" spans="1:12" s="17" customFormat="1" x14ac:dyDescent="0.25">
      <c r="A377" s="229"/>
      <c r="B377" s="55"/>
      <c r="C377" s="55"/>
      <c r="D377" s="55"/>
      <c r="G377" s="202"/>
      <c r="H377" s="144"/>
      <c r="J377" s="145"/>
      <c r="K377" s="148"/>
      <c r="L377" s="149"/>
    </row>
    <row r="378" spans="1:12" s="17" customFormat="1" x14ac:dyDescent="0.25">
      <c r="A378" s="229"/>
      <c r="B378" s="55"/>
      <c r="C378" s="55"/>
      <c r="D378" s="55"/>
      <c r="G378" s="202"/>
      <c r="H378" s="144"/>
      <c r="J378" s="145"/>
      <c r="K378" s="148"/>
      <c r="L378" s="149"/>
    </row>
    <row r="379" spans="1:12" s="17" customFormat="1" x14ac:dyDescent="0.25">
      <c r="A379" s="229"/>
      <c r="B379" s="55"/>
      <c r="C379" s="55"/>
      <c r="D379" s="55"/>
      <c r="G379" s="202"/>
      <c r="H379" s="144"/>
      <c r="J379" s="145"/>
      <c r="K379" s="148"/>
      <c r="L379" s="149"/>
    </row>
    <row r="380" spans="1:12" s="17" customFormat="1" x14ac:dyDescent="0.25">
      <c r="A380" s="229"/>
      <c r="B380" s="55"/>
      <c r="C380" s="55"/>
      <c r="D380" s="55"/>
      <c r="G380" s="202"/>
      <c r="H380" s="144"/>
      <c r="J380" s="145"/>
      <c r="K380" s="148"/>
      <c r="L380" s="149"/>
    </row>
    <row r="381" spans="1:12" s="17" customFormat="1" x14ac:dyDescent="0.25">
      <c r="A381" s="229"/>
      <c r="B381" s="55"/>
      <c r="C381" s="55"/>
      <c r="D381" s="55"/>
      <c r="G381" s="202"/>
      <c r="H381" s="144"/>
      <c r="J381" s="145"/>
      <c r="K381" s="148"/>
      <c r="L381" s="149"/>
    </row>
    <row r="382" spans="1:12" s="17" customFormat="1" x14ac:dyDescent="0.25">
      <c r="A382" s="229"/>
      <c r="B382" s="55"/>
      <c r="C382" s="55"/>
      <c r="D382" s="55"/>
      <c r="G382" s="202"/>
      <c r="H382" s="144"/>
      <c r="J382" s="145"/>
      <c r="K382" s="148"/>
      <c r="L382" s="149"/>
    </row>
    <row r="383" spans="1:12" s="17" customFormat="1" x14ac:dyDescent="0.25">
      <c r="A383" s="229"/>
      <c r="B383" s="55"/>
      <c r="C383" s="55"/>
      <c r="D383" s="55"/>
      <c r="G383" s="202"/>
      <c r="H383" s="144"/>
      <c r="J383" s="145"/>
      <c r="K383" s="148"/>
      <c r="L383" s="149"/>
    </row>
    <row r="384" spans="1:12" s="17" customFormat="1" x14ac:dyDescent="0.25">
      <c r="A384" s="229"/>
      <c r="B384" s="55"/>
      <c r="C384" s="55"/>
      <c r="D384" s="55"/>
      <c r="G384" s="202"/>
      <c r="H384" s="144"/>
      <c r="J384" s="145"/>
      <c r="K384" s="148"/>
      <c r="L384" s="149"/>
    </row>
    <row r="385" spans="1:12" s="17" customFormat="1" x14ac:dyDescent="0.25">
      <c r="A385" s="229"/>
      <c r="B385" s="55"/>
      <c r="C385" s="55"/>
      <c r="D385" s="55"/>
      <c r="G385" s="202"/>
      <c r="H385" s="144"/>
      <c r="J385" s="145"/>
      <c r="K385" s="148"/>
      <c r="L385" s="149"/>
    </row>
    <row r="386" spans="1:12" s="17" customFormat="1" x14ac:dyDescent="0.25">
      <c r="A386" s="229"/>
      <c r="B386" s="55"/>
      <c r="C386" s="55"/>
      <c r="D386" s="55"/>
      <c r="G386" s="202"/>
      <c r="H386" s="144"/>
      <c r="J386" s="145"/>
      <c r="K386" s="148"/>
      <c r="L386" s="149"/>
    </row>
    <row r="387" spans="1:12" s="17" customFormat="1" x14ac:dyDescent="0.25">
      <c r="A387" s="229"/>
      <c r="B387" s="55"/>
      <c r="C387" s="55"/>
      <c r="D387" s="55"/>
      <c r="G387" s="202"/>
      <c r="H387" s="144"/>
      <c r="J387" s="145"/>
      <c r="K387" s="148"/>
      <c r="L387" s="149"/>
    </row>
    <row r="388" spans="1:12" s="17" customFormat="1" x14ac:dyDescent="0.25">
      <c r="A388" s="229"/>
      <c r="B388" s="55"/>
      <c r="C388" s="55"/>
      <c r="D388" s="55"/>
      <c r="G388" s="202"/>
      <c r="H388" s="144"/>
      <c r="J388" s="145"/>
      <c r="K388" s="148"/>
      <c r="L388" s="149"/>
    </row>
    <row r="389" spans="1:12" s="17" customFormat="1" x14ac:dyDescent="0.25">
      <c r="A389" s="229"/>
      <c r="B389" s="55"/>
      <c r="C389" s="55"/>
      <c r="D389" s="55"/>
      <c r="G389" s="202"/>
      <c r="H389" s="144"/>
      <c r="J389" s="145"/>
      <c r="K389" s="148"/>
      <c r="L389" s="149"/>
    </row>
    <row r="390" spans="1:12" s="17" customFormat="1" x14ac:dyDescent="0.25">
      <c r="A390" s="229"/>
      <c r="B390" s="55"/>
      <c r="C390" s="55"/>
      <c r="D390" s="55"/>
      <c r="G390" s="202"/>
      <c r="H390" s="144"/>
      <c r="J390" s="145"/>
      <c r="K390" s="148"/>
      <c r="L390" s="149"/>
    </row>
    <row r="391" spans="1:12" s="17" customFormat="1" x14ac:dyDescent="0.25">
      <c r="A391" s="229"/>
      <c r="B391" s="55"/>
      <c r="C391" s="55"/>
      <c r="D391" s="55"/>
      <c r="G391" s="202"/>
      <c r="H391" s="144"/>
      <c r="J391" s="145"/>
      <c r="K391" s="148"/>
      <c r="L391" s="149"/>
    </row>
    <row r="392" spans="1:12" s="17" customFormat="1" x14ac:dyDescent="0.25">
      <c r="A392" s="229"/>
      <c r="B392" s="55"/>
      <c r="C392" s="55"/>
      <c r="D392" s="55"/>
      <c r="G392" s="202"/>
      <c r="H392" s="144"/>
      <c r="J392" s="145"/>
      <c r="K392" s="148"/>
      <c r="L392" s="149"/>
    </row>
    <row r="393" spans="1:12" s="17" customFormat="1" x14ac:dyDescent="0.25">
      <c r="A393" s="229"/>
      <c r="B393" s="55"/>
      <c r="C393" s="55"/>
      <c r="D393" s="55"/>
      <c r="G393" s="202"/>
      <c r="H393" s="144"/>
      <c r="J393" s="145"/>
      <c r="K393" s="148"/>
      <c r="L393" s="149"/>
    </row>
    <row r="394" spans="1:12" s="17" customFormat="1" x14ac:dyDescent="0.25">
      <c r="A394" s="229"/>
      <c r="B394" s="55"/>
      <c r="C394" s="55"/>
      <c r="D394" s="55"/>
      <c r="G394" s="202"/>
      <c r="H394" s="144"/>
      <c r="J394" s="145"/>
      <c r="K394" s="148"/>
      <c r="L394" s="149"/>
    </row>
    <row r="395" spans="1:12" s="17" customFormat="1" x14ac:dyDescent="0.25">
      <c r="A395" s="229"/>
      <c r="B395" s="55"/>
      <c r="C395" s="55"/>
      <c r="D395" s="55"/>
      <c r="G395" s="202"/>
      <c r="H395" s="144"/>
      <c r="J395" s="145"/>
      <c r="K395" s="148"/>
      <c r="L395" s="149"/>
    </row>
    <row r="396" spans="1:12" s="17" customFormat="1" x14ac:dyDescent="0.25">
      <c r="A396" s="229"/>
      <c r="B396" s="55"/>
      <c r="C396" s="55"/>
      <c r="D396" s="55"/>
      <c r="G396" s="202"/>
      <c r="H396" s="144"/>
      <c r="J396" s="145"/>
      <c r="K396" s="148"/>
      <c r="L396" s="149"/>
    </row>
    <row r="397" spans="1:12" s="17" customFormat="1" x14ac:dyDescent="0.25">
      <c r="A397" s="229"/>
      <c r="B397" s="55"/>
      <c r="C397" s="55"/>
      <c r="D397" s="55"/>
      <c r="G397" s="202"/>
      <c r="H397" s="144"/>
      <c r="J397" s="145"/>
      <c r="K397" s="148"/>
      <c r="L397" s="149"/>
    </row>
    <row r="398" spans="1:12" s="17" customFormat="1" x14ac:dyDescent="0.25">
      <c r="A398" s="229"/>
      <c r="B398" s="55"/>
      <c r="C398" s="55"/>
      <c r="D398" s="55"/>
      <c r="G398" s="202"/>
      <c r="H398" s="144"/>
      <c r="J398" s="145"/>
      <c r="K398" s="148"/>
      <c r="L398" s="149"/>
    </row>
    <row r="399" spans="1:12" s="17" customFormat="1" x14ac:dyDescent="0.25">
      <c r="A399" s="229"/>
      <c r="B399" s="55"/>
      <c r="C399" s="55"/>
      <c r="D399" s="55"/>
      <c r="G399" s="202"/>
      <c r="H399" s="144"/>
      <c r="J399" s="145"/>
      <c r="K399" s="148"/>
      <c r="L399" s="149"/>
    </row>
    <row r="400" spans="1:12" s="17" customFormat="1" x14ac:dyDescent="0.25">
      <c r="A400" s="229"/>
      <c r="B400" s="55"/>
      <c r="C400" s="55"/>
      <c r="D400" s="55"/>
      <c r="G400" s="202"/>
      <c r="H400" s="144"/>
      <c r="J400" s="145"/>
      <c r="K400" s="148"/>
      <c r="L400" s="149"/>
    </row>
    <row r="401" spans="1:12" s="17" customFormat="1" x14ac:dyDescent="0.25">
      <c r="A401" s="229"/>
      <c r="B401" s="55"/>
      <c r="C401" s="55"/>
      <c r="D401" s="55"/>
      <c r="G401" s="202"/>
      <c r="H401" s="144"/>
      <c r="J401" s="145"/>
      <c r="K401" s="148"/>
      <c r="L401" s="149"/>
    </row>
    <row r="402" spans="1:12" s="17" customFormat="1" x14ac:dyDescent="0.25">
      <c r="A402" s="229"/>
      <c r="B402" s="55"/>
      <c r="C402" s="55"/>
      <c r="D402" s="55"/>
      <c r="G402" s="202"/>
      <c r="H402" s="144"/>
      <c r="J402" s="145"/>
      <c r="K402" s="148"/>
      <c r="L402" s="149"/>
    </row>
    <row r="403" spans="1:12" s="17" customFormat="1" x14ac:dyDescent="0.25">
      <c r="A403" s="229"/>
      <c r="B403" s="55"/>
      <c r="C403" s="55"/>
      <c r="D403" s="55"/>
      <c r="G403" s="202"/>
      <c r="H403" s="144"/>
      <c r="J403" s="145"/>
      <c r="K403" s="148"/>
      <c r="L403" s="149"/>
    </row>
    <row r="404" spans="1:12" s="17" customFormat="1" x14ac:dyDescent="0.25">
      <c r="A404" s="229"/>
      <c r="B404" s="55"/>
      <c r="C404" s="55"/>
      <c r="D404" s="55"/>
      <c r="G404" s="202"/>
      <c r="H404" s="144"/>
      <c r="J404" s="145"/>
      <c r="K404" s="148"/>
      <c r="L404" s="149"/>
    </row>
    <row r="405" spans="1:12" s="17" customFormat="1" x14ac:dyDescent="0.25">
      <c r="A405" s="229"/>
      <c r="B405" s="55"/>
      <c r="C405" s="55"/>
      <c r="D405" s="55"/>
      <c r="G405" s="202"/>
      <c r="H405" s="144"/>
      <c r="J405" s="145"/>
      <c r="K405" s="148"/>
      <c r="L405" s="149"/>
    </row>
    <row r="406" spans="1:12" s="17" customFormat="1" x14ac:dyDescent="0.25">
      <c r="A406" s="229"/>
      <c r="B406" s="55"/>
      <c r="C406" s="55"/>
      <c r="D406" s="55"/>
      <c r="G406" s="202"/>
      <c r="H406" s="144"/>
      <c r="J406" s="145"/>
      <c r="K406" s="148"/>
      <c r="L406" s="149"/>
    </row>
    <row r="407" spans="1:12" s="17" customFormat="1" x14ac:dyDescent="0.25">
      <c r="A407" s="229"/>
      <c r="B407" s="55"/>
      <c r="C407" s="55"/>
      <c r="D407" s="55"/>
      <c r="G407" s="202"/>
      <c r="H407" s="144"/>
      <c r="J407" s="145"/>
      <c r="K407" s="148"/>
      <c r="L407" s="149"/>
    </row>
    <row r="408" spans="1:12" s="17" customFormat="1" x14ac:dyDescent="0.25">
      <c r="A408" s="229"/>
      <c r="B408" s="55"/>
      <c r="C408" s="55"/>
      <c r="D408" s="55"/>
      <c r="G408" s="202"/>
      <c r="H408" s="144"/>
      <c r="J408" s="145"/>
      <c r="K408" s="148"/>
      <c r="L408" s="149"/>
    </row>
    <row r="409" spans="1:12" s="17" customFormat="1" x14ac:dyDescent="0.25">
      <c r="A409" s="229"/>
      <c r="B409" s="55"/>
      <c r="C409" s="55"/>
      <c r="D409" s="55"/>
      <c r="G409" s="202"/>
      <c r="H409" s="144"/>
      <c r="J409" s="145"/>
      <c r="K409" s="148"/>
      <c r="L409" s="149"/>
    </row>
    <row r="410" spans="1:12" s="17" customFormat="1" x14ac:dyDescent="0.25">
      <c r="A410" s="229"/>
      <c r="B410" s="55"/>
      <c r="C410" s="55"/>
      <c r="D410" s="55"/>
      <c r="G410" s="202"/>
      <c r="H410" s="144"/>
      <c r="J410" s="145"/>
      <c r="K410" s="148"/>
      <c r="L410" s="149"/>
    </row>
    <row r="411" spans="1:12" s="17" customFormat="1" x14ac:dyDescent="0.25">
      <c r="A411" s="229"/>
      <c r="B411" s="55"/>
      <c r="C411" s="55"/>
      <c r="D411" s="55"/>
      <c r="G411" s="202"/>
      <c r="H411" s="144"/>
      <c r="J411" s="145"/>
      <c r="K411" s="148"/>
      <c r="L411" s="149"/>
    </row>
    <row r="412" spans="1:12" s="17" customFormat="1" x14ac:dyDescent="0.25">
      <c r="A412" s="229"/>
      <c r="B412" s="55"/>
      <c r="C412" s="55"/>
      <c r="D412" s="55"/>
      <c r="G412" s="202"/>
      <c r="H412" s="144"/>
      <c r="J412" s="145"/>
      <c r="K412" s="148"/>
      <c r="L412" s="149"/>
    </row>
    <row r="413" spans="1:12" s="17" customFormat="1" x14ac:dyDescent="0.25">
      <c r="A413" s="229"/>
      <c r="B413" s="55"/>
      <c r="C413" s="55"/>
      <c r="D413" s="55"/>
      <c r="G413" s="202"/>
      <c r="H413" s="144"/>
      <c r="J413" s="145"/>
      <c r="K413" s="148"/>
      <c r="L413" s="149"/>
    </row>
    <row r="414" spans="1:12" s="17" customFormat="1" x14ac:dyDescent="0.25">
      <c r="A414" s="229"/>
      <c r="B414" s="55"/>
      <c r="C414" s="55"/>
      <c r="D414" s="55"/>
      <c r="G414" s="202"/>
      <c r="H414" s="144"/>
      <c r="J414" s="145"/>
      <c r="K414" s="148"/>
      <c r="L414" s="149"/>
    </row>
    <row r="415" spans="1:12" s="17" customFormat="1" x14ac:dyDescent="0.25">
      <c r="A415" s="229"/>
      <c r="B415" s="55"/>
      <c r="C415" s="55"/>
      <c r="D415" s="55"/>
      <c r="G415" s="202"/>
      <c r="H415" s="144"/>
      <c r="J415" s="145"/>
      <c r="K415" s="148"/>
      <c r="L415" s="149"/>
    </row>
    <row r="416" spans="1:12" s="17" customFormat="1" x14ac:dyDescent="0.25">
      <c r="A416" s="229"/>
      <c r="B416" s="55"/>
      <c r="C416" s="55"/>
      <c r="D416" s="55"/>
      <c r="G416" s="202"/>
      <c r="H416" s="144"/>
      <c r="J416" s="145"/>
      <c r="K416" s="148"/>
      <c r="L416" s="149"/>
    </row>
    <row r="417" spans="1:12" s="17" customFormat="1" x14ac:dyDescent="0.25">
      <c r="A417" s="229"/>
      <c r="B417" s="55"/>
      <c r="C417" s="55"/>
      <c r="D417" s="55"/>
      <c r="G417" s="202"/>
      <c r="H417" s="144"/>
      <c r="J417" s="145"/>
      <c r="K417" s="148"/>
      <c r="L417" s="149"/>
    </row>
    <row r="418" spans="1:12" s="17" customFormat="1" x14ac:dyDescent="0.25">
      <c r="A418" s="229"/>
      <c r="B418" s="55"/>
      <c r="C418" s="55"/>
      <c r="D418" s="55"/>
      <c r="G418" s="202"/>
      <c r="H418" s="144"/>
      <c r="J418" s="145"/>
      <c r="K418" s="148"/>
      <c r="L418" s="149"/>
    </row>
    <row r="419" spans="1:12" s="17" customFormat="1" x14ac:dyDescent="0.25">
      <c r="A419" s="229"/>
      <c r="B419" s="55"/>
      <c r="C419" s="55"/>
      <c r="D419" s="55"/>
      <c r="G419" s="202"/>
      <c r="H419" s="144"/>
      <c r="J419" s="145"/>
      <c r="K419" s="148"/>
      <c r="L419" s="149"/>
    </row>
    <row r="420" spans="1:12" s="17" customFormat="1" x14ac:dyDescent="0.25">
      <c r="A420" s="229"/>
      <c r="B420" s="55"/>
      <c r="C420" s="55"/>
      <c r="D420" s="55"/>
      <c r="G420" s="202"/>
      <c r="H420" s="144"/>
      <c r="J420" s="145"/>
      <c r="K420" s="148"/>
      <c r="L420" s="149"/>
    </row>
    <row r="421" spans="1:12" s="17" customFormat="1" x14ac:dyDescent="0.25">
      <c r="A421" s="229"/>
      <c r="B421" s="55"/>
      <c r="C421" s="55"/>
      <c r="D421" s="55"/>
      <c r="G421" s="202"/>
      <c r="H421" s="144"/>
      <c r="J421" s="145"/>
      <c r="K421" s="148"/>
      <c r="L421" s="149"/>
    </row>
    <row r="422" spans="1:12" s="17" customFormat="1" x14ac:dyDescent="0.25">
      <c r="A422" s="229"/>
      <c r="B422" s="55"/>
      <c r="C422" s="55"/>
      <c r="D422" s="55"/>
      <c r="G422" s="202"/>
      <c r="H422" s="144"/>
      <c r="J422" s="145"/>
      <c r="K422" s="148"/>
      <c r="L422" s="149"/>
    </row>
    <row r="423" spans="1:12" s="17" customFormat="1" x14ac:dyDescent="0.25">
      <c r="A423" s="229"/>
      <c r="B423" s="55"/>
      <c r="C423" s="55"/>
      <c r="D423" s="55"/>
      <c r="G423" s="202"/>
      <c r="H423" s="144"/>
      <c r="J423" s="145"/>
      <c r="K423" s="148"/>
      <c r="L423" s="149"/>
    </row>
    <row r="424" spans="1:12" s="17" customFormat="1" x14ac:dyDescent="0.25">
      <c r="A424" s="229"/>
      <c r="B424" s="55"/>
      <c r="C424" s="55"/>
      <c r="D424" s="55"/>
      <c r="G424" s="202"/>
      <c r="H424" s="144"/>
      <c r="J424" s="145"/>
      <c r="K424" s="148"/>
      <c r="L424" s="149"/>
    </row>
    <row r="425" spans="1:12" s="17" customFormat="1" x14ac:dyDescent="0.25">
      <c r="A425" s="229"/>
      <c r="B425" s="55"/>
      <c r="C425" s="55"/>
      <c r="D425" s="55"/>
      <c r="G425" s="202"/>
      <c r="H425" s="144"/>
      <c r="J425" s="145"/>
      <c r="K425" s="148"/>
      <c r="L425" s="149"/>
    </row>
    <row r="426" spans="1:12" s="17" customFormat="1" x14ac:dyDescent="0.25">
      <c r="A426" s="229"/>
      <c r="B426" s="55"/>
      <c r="C426" s="55"/>
      <c r="D426" s="55"/>
      <c r="G426" s="202"/>
      <c r="H426" s="144"/>
      <c r="J426" s="145"/>
      <c r="K426" s="148"/>
      <c r="L426" s="149"/>
    </row>
    <row r="427" spans="1:12" s="17" customFormat="1" x14ac:dyDescent="0.25">
      <c r="A427" s="229"/>
      <c r="B427" s="55"/>
      <c r="C427" s="55"/>
      <c r="D427" s="55"/>
      <c r="G427" s="202"/>
      <c r="H427" s="144"/>
      <c r="J427" s="145"/>
      <c r="K427" s="148"/>
      <c r="L427" s="149"/>
    </row>
    <row r="428" spans="1:12" s="17" customFormat="1" x14ac:dyDescent="0.25">
      <c r="A428" s="229"/>
      <c r="B428" s="55"/>
      <c r="C428" s="55"/>
      <c r="D428" s="55"/>
      <c r="G428" s="202"/>
      <c r="H428" s="144"/>
      <c r="J428" s="145"/>
      <c r="K428" s="148"/>
      <c r="L428" s="149"/>
    </row>
    <row r="429" spans="1:12" s="17" customFormat="1" x14ac:dyDescent="0.25">
      <c r="A429" s="229"/>
      <c r="B429" s="55"/>
      <c r="C429" s="55"/>
      <c r="D429" s="55"/>
      <c r="G429" s="202"/>
      <c r="H429" s="144"/>
      <c r="J429" s="145"/>
      <c r="K429" s="148"/>
      <c r="L429" s="149"/>
    </row>
    <row r="430" spans="1:12" s="17" customFormat="1" x14ac:dyDescent="0.25">
      <c r="A430" s="229"/>
      <c r="B430" s="55"/>
      <c r="C430" s="55"/>
      <c r="D430" s="55"/>
      <c r="G430" s="202"/>
      <c r="H430" s="144"/>
      <c r="J430" s="145"/>
      <c r="K430" s="148"/>
      <c r="L430" s="149"/>
    </row>
    <row r="431" spans="1:12" s="17" customFormat="1" x14ac:dyDescent="0.25">
      <c r="A431" s="229"/>
      <c r="B431" s="55"/>
      <c r="C431" s="55"/>
      <c r="D431" s="55"/>
      <c r="G431" s="202"/>
      <c r="H431" s="144"/>
      <c r="J431" s="145"/>
      <c r="K431" s="148"/>
      <c r="L431" s="149"/>
    </row>
    <row r="432" spans="1:12" s="17" customFormat="1" x14ac:dyDescent="0.25">
      <c r="A432" s="229"/>
      <c r="B432" s="55"/>
      <c r="C432" s="55"/>
      <c r="D432" s="55"/>
      <c r="G432" s="202"/>
      <c r="H432" s="144"/>
      <c r="J432" s="145"/>
      <c r="K432" s="148"/>
      <c r="L432" s="149"/>
    </row>
    <row r="433" spans="1:12" s="17" customFormat="1" x14ac:dyDescent="0.25">
      <c r="A433" s="229"/>
      <c r="B433" s="55"/>
      <c r="C433" s="55"/>
      <c r="D433" s="55"/>
      <c r="G433" s="202"/>
      <c r="H433" s="144"/>
      <c r="J433" s="145"/>
      <c r="K433" s="148"/>
      <c r="L433" s="149"/>
    </row>
    <row r="434" spans="1:12" s="17" customFormat="1" x14ac:dyDescent="0.25">
      <c r="A434" s="229"/>
      <c r="B434" s="55"/>
      <c r="C434" s="55"/>
      <c r="D434" s="55"/>
      <c r="G434" s="202"/>
      <c r="H434" s="144"/>
      <c r="J434" s="145"/>
      <c r="K434" s="148"/>
      <c r="L434" s="149"/>
    </row>
    <row r="435" spans="1:12" s="17" customFormat="1" x14ac:dyDescent="0.25">
      <c r="A435" s="229"/>
      <c r="B435" s="55"/>
      <c r="C435" s="55"/>
      <c r="D435" s="55"/>
      <c r="G435" s="202"/>
      <c r="H435" s="144"/>
      <c r="J435" s="145"/>
      <c r="K435" s="148"/>
      <c r="L435" s="149"/>
    </row>
    <row r="436" spans="1:12" s="17" customFormat="1" x14ac:dyDescent="0.25">
      <c r="A436" s="229"/>
      <c r="B436" s="55"/>
      <c r="C436" s="55"/>
      <c r="D436" s="55"/>
      <c r="G436" s="202"/>
      <c r="H436" s="144"/>
      <c r="J436" s="145"/>
      <c r="K436" s="148"/>
      <c r="L436" s="149"/>
    </row>
    <row r="437" spans="1:12" s="17" customFormat="1" x14ac:dyDescent="0.25">
      <c r="A437" s="229"/>
      <c r="B437" s="55"/>
      <c r="C437" s="55"/>
      <c r="D437" s="55"/>
      <c r="G437" s="202"/>
      <c r="H437" s="144"/>
      <c r="J437" s="145"/>
      <c r="K437" s="148"/>
      <c r="L437" s="149"/>
    </row>
    <row r="438" spans="1:12" s="17" customFormat="1" x14ac:dyDescent="0.25">
      <c r="A438" s="229"/>
      <c r="B438" s="55"/>
      <c r="C438" s="55"/>
      <c r="D438" s="55"/>
      <c r="G438" s="202"/>
      <c r="H438" s="144"/>
      <c r="J438" s="145"/>
      <c r="K438" s="148"/>
      <c r="L438" s="149"/>
    </row>
    <row r="439" spans="1:12" s="17" customFormat="1" x14ac:dyDescent="0.25">
      <c r="A439" s="229"/>
      <c r="B439" s="55"/>
      <c r="C439" s="55"/>
      <c r="D439" s="55"/>
      <c r="G439" s="202"/>
      <c r="H439" s="144"/>
      <c r="J439" s="145"/>
      <c r="K439" s="148"/>
      <c r="L439" s="149"/>
    </row>
    <row r="440" spans="1:12" s="17" customFormat="1" x14ac:dyDescent="0.25">
      <c r="A440" s="229"/>
      <c r="B440" s="55"/>
      <c r="C440" s="55"/>
      <c r="D440" s="55"/>
      <c r="G440" s="202"/>
      <c r="H440" s="144"/>
      <c r="J440" s="145"/>
      <c r="K440" s="148"/>
      <c r="L440" s="149"/>
    </row>
    <row r="441" spans="1:12" s="17" customFormat="1" x14ac:dyDescent="0.25">
      <c r="A441" s="229"/>
      <c r="B441" s="55"/>
      <c r="C441" s="55"/>
      <c r="D441" s="55"/>
      <c r="G441" s="202"/>
      <c r="H441" s="144"/>
      <c r="J441" s="145"/>
      <c r="K441" s="148"/>
      <c r="L441" s="149"/>
    </row>
    <row r="442" spans="1:12" s="17" customFormat="1" x14ac:dyDescent="0.25">
      <c r="A442" s="229"/>
      <c r="B442" s="55"/>
      <c r="C442" s="55"/>
      <c r="D442" s="55"/>
      <c r="G442" s="202"/>
      <c r="H442" s="144"/>
      <c r="J442" s="145"/>
      <c r="K442" s="148"/>
      <c r="L442" s="149"/>
    </row>
    <row r="443" spans="1:12" s="17" customFormat="1" x14ac:dyDescent="0.25">
      <c r="A443" s="229"/>
      <c r="B443" s="55"/>
      <c r="C443" s="55"/>
      <c r="D443" s="55"/>
      <c r="G443" s="202"/>
      <c r="H443" s="144"/>
      <c r="J443" s="145"/>
      <c r="K443" s="148"/>
      <c r="L443" s="149"/>
    </row>
    <row r="444" spans="1:12" s="17" customFormat="1" x14ac:dyDescent="0.25">
      <c r="A444" s="229"/>
      <c r="B444" s="55"/>
      <c r="C444" s="55"/>
      <c r="D444" s="55"/>
      <c r="G444" s="202"/>
      <c r="H444" s="144"/>
      <c r="J444" s="145"/>
      <c r="K444" s="148"/>
      <c r="L444" s="149"/>
    </row>
    <row r="445" spans="1:12" s="17" customFormat="1" x14ac:dyDescent="0.25">
      <c r="A445" s="229"/>
      <c r="B445" s="55"/>
      <c r="C445" s="55"/>
      <c r="D445" s="55"/>
      <c r="G445" s="202"/>
      <c r="H445" s="144"/>
      <c r="J445" s="145"/>
      <c r="K445" s="148"/>
      <c r="L445" s="149"/>
    </row>
    <row r="446" spans="1:12" s="17" customFormat="1" x14ac:dyDescent="0.25">
      <c r="A446" s="229"/>
      <c r="B446" s="55"/>
      <c r="C446" s="55"/>
      <c r="D446" s="55"/>
      <c r="G446" s="202"/>
      <c r="H446" s="144"/>
      <c r="J446" s="145"/>
      <c r="K446" s="148"/>
      <c r="L446" s="149"/>
    </row>
    <row r="447" spans="1:12" s="17" customFormat="1" x14ac:dyDescent="0.25">
      <c r="A447" s="229"/>
      <c r="B447" s="55"/>
      <c r="C447" s="55"/>
      <c r="D447" s="55"/>
      <c r="G447" s="202"/>
      <c r="H447" s="144"/>
      <c r="J447" s="145"/>
      <c r="K447" s="148"/>
      <c r="L447" s="149"/>
    </row>
    <row r="448" spans="1:12" s="17" customFormat="1" x14ac:dyDescent="0.25">
      <c r="A448" s="229"/>
      <c r="B448" s="55"/>
      <c r="C448" s="55"/>
      <c r="D448" s="55"/>
      <c r="G448" s="202"/>
      <c r="H448" s="144"/>
      <c r="J448" s="145"/>
      <c r="K448" s="148"/>
      <c r="L448" s="149"/>
    </row>
    <row r="449" spans="1:12" s="17" customFormat="1" x14ac:dyDescent="0.25">
      <c r="A449" s="229"/>
      <c r="B449" s="55"/>
      <c r="C449" s="55"/>
      <c r="D449" s="55"/>
      <c r="G449" s="202"/>
      <c r="H449" s="144"/>
      <c r="J449" s="145"/>
      <c r="K449" s="148"/>
      <c r="L449" s="149"/>
    </row>
    <row r="450" spans="1:12" s="17" customFormat="1" x14ac:dyDescent="0.25">
      <c r="A450" s="229"/>
      <c r="B450" s="55"/>
      <c r="C450" s="55"/>
      <c r="D450" s="55"/>
      <c r="G450" s="202"/>
      <c r="H450" s="144"/>
      <c r="J450" s="145"/>
      <c r="K450" s="148"/>
      <c r="L450" s="149"/>
    </row>
    <row r="451" spans="1:12" s="17" customFormat="1" x14ac:dyDescent="0.25">
      <c r="A451" s="229"/>
      <c r="B451" s="55"/>
      <c r="C451" s="55"/>
      <c r="D451" s="55"/>
      <c r="G451" s="202"/>
      <c r="H451" s="144"/>
      <c r="J451" s="145"/>
      <c r="K451" s="148"/>
      <c r="L451" s="149"/>
    </row>
    <row r="452" spans="1:12" s="17" customFormat="1" x14ac:dyDescent="0.25">
      <c r="A452" s="229"/>
      <c r="B452" s="55"/>
      <c r="C452" s="55"/>
      <c r="D452" s="55"/>
      <c r="G452" s="202"/>
      <c r="H452" s="144"/>
      <c r="J452" s="145"/>
      <c r="K452" s="148"/>
      <c r="L452" s="149"/>
    </row>
    <row r="453" spans="1:12" s="17" customFormat="1" x14ac:dyDescent="0.25">
      <c r="A453" s="229"/>
      <c r="B453" s="55"/>
      <c r="C453" s="55"/>
      <c r="D453" s="55"/>
      <c r="G453" s="202"/>
      <c r="H453" s="144"/>
      <c r="J453" s="145"/>
      <c r="K453" s="148"/>
      <c r="L453" s="149"/>
    </row>
    <row r="454" spans="1:12" s="17" customFormat="1" x14ac:dyDescent="0.25">
      <c r="A454" s="229"/>
      <c r="B454" s="55"/>
      <c r="C454" s="55"/>
      <c r="D454" s="55"/>
      <c r="G454" s="202"/>
      <c r="H454" s="144"/>
      <c r="J454" s="145"/>
      <c r="K454" s="148"/>
      <c r="L454" s="149"/>
    </row>
    <row r="455" spans="1:12" s="17" customFormat="1" x14ac:dyDescent="0.25">
      <c r="A455" s="229"/>
      <c r="B455" s="55"/>
      <c r="C455" s="55"/>
      <c r="D455" s="55"/>
      <c r="G455" s="202"/>
      <c r="H455" s="144"/>
      <c r="J455" s="145"/>
      <c r="K455" s="148"/>
      <c r="L455" s="149"/>
    </row>
    <row r="456" spans="1:12" s="17" customFormat="1" x14ac:dyDescent="0.25">
      <c r="A456" s="229"/>
      <c r="B456" s="55"/>
      <c r="C456" s="55"/>
      <c r="D456" s="55"/>
      <c r="G456" s="202"/>
      <c r="H456" s="144"/>
      <c r="J456" s="145"/>
      <c r="K456" s="148"/>
      <c r="L456" s="149"/>
    </row>
    <row r="457" spans="1:12" s="17" customFormat="1" x14ac:dyDescent="0.25">
      <c r="A457" s="229"/>
      <c r="B457" s="55"/>
      <c r="C457" s="55"/>
      <c r="D457" s="55"/>
      <c r="G457" s="202"/>
      <c r="H457" s="144"/>
      <c r="J457" s="145"/>
      <c r="K457" s="148"/>
      <c r="L457" s="149"/>
    </row>
    <row r="458" spans="1:12" s="17" customFormat="1" x14ac:dyDescent="0.25">
      <c r="A458" s="229"/>
      <c r="B458" s="55"/>
      <c r="C458" s="55"/>
      <c r="D458" s="55"/>
      <c r="G458" s="202"/>
      <c r="H458" s="144"/>
      <c r="J458" s="145"/>
      <c r="K458" s="148"/>
      <c r="L458" s="149"/>
    </row>
    <row r="459" spans="1:12" s="17" customFormat="1" x14ac:dyDescent="0.25">
      <c r="A459" s="229"/>
      <c r="B459" s="55"/>
      <c r="C459" s="55"/>
      <c r="D459" s="55"/>
      <c r="G459" s="202"/>
      <c r="H459" s="144"/>
      <c r="J459" s="145"/>
      <c r="K459" s="148"/>
      <c r="L459" s="149"/>
    </row>
    <row r="460" spans="1:12" s="17" customFormat="1" x14ac:dyDescent="0.25">
      <c r="A460" s="229"/>
      <c r="B460" s="55"/>
      <c r="C460" s="55"/>
      <c r="D460" s="55"/>
      <c r="G460" s="202"/>
      <c r="H460" s="144"/>
      <c r="J460" s="145"/>
      <c r="K460" s="148"/>
      <c r="L460" s="149"/>
    </row>
    <row r="461" spans="1:12" s="17" customFormat="1" x14ac:dyDescent="0.25">
      <c r="A461" s="229"/>
      <c r="B461" s="55"/>
      <c r="C461" s="55"/>
      <c r="D461" s="55"/>
      <c r="G461" s="202"/>
      <c r="H461" s="144"/>
      <c r="J461" s="145"/>
      <c r="K461" s="148"/>
      <c r="L461" s="149"/>
    </row>
    <row r="462" spans="1:12" s="17" customFormat="1" x14ac:dyDescent="0.25">
      <c r="A462" s="229"/>
      <c r="B462" s="55"/>
      <c r="C462" s="55"/>
      <c r="D462" s="55"/>
      <c r="G462" s="202"/>
      <c r="H462" s="144"/>
      <c r="J462" s="145"/>
      <c r="K462" s="148"/>
      <c r="L462" s="149"/>
    </row>
    <row r="463" spans="1:12" s="17" customFormat="1" x14ac:dyDescent="0.25">
      <c r="A463" s="229"/>
      <c r="B463" s="55"/>
      <c r="C463" s="55"/>
      <c r="D463" s="55"/>
      <c r="G463" s="202"/>
      <c r="H463" s="144"/>
      <c r="J463" s="145"/>
      <c r="K463" s="148"/>
      <c r="L463" s="149"/>
    </row>
    <row r="464" spans="1:12" s="17" customFormat="1" x14ac:dyDescent="0.25">
      <c r="A464" s="229"/>
      <c r="B464" s="55"/>
      <c r="C464" s="55"/>
      <c r="D464" s="55"/>
      <c r="G464" s="202"/>
      <c r="H464" s="144"/>
      <c r="J464" s="145"/>
      <c r="K464" s="148"/>
      <c r="L464" s="149"/>
    </row>
    <row r="465" spans="1:12" s="17" customFormat="1" x14ac:dyDescent="0.25">
      <c r="A465" s="229"/>
      <c r="B465" s="55"/>
      <c r="C465" s="55"/>
      <c r="D465" s="55"/>
      <c r="G465" s="202"/>
      <c r="H465" s="144"/>
      <c r="J465" s="145"/>
      <c r="K465" s="148"/>
      <c r="L465" s="149"/>
    </row>
    <row r="466" spans="1:12" s="17" customFormat="1" x14ac:dyDescent="0.25">
      <c r="A466" s="229"/>
      <c r="B466" s="55"/>
      <c r="C466" s="55"/>
      <c r="D466" s="55"/>
      <c r="G466" s="202"/>
      <c r="H466" s="144"/>
      <c r="J466" s="145"/>
      <c r="K466" s="148"/>
      <c r="L466" s="149"/>
    </row>
    <row r="467" spans="1:12" s="17" customFormat="1" x14ac:dyDescent="0.25">
      <c r="A467" s="229"/>
      <c r="B467" s="55"/>
      <c r="C467" s="55"/>
      <c r="D467" s="55"/>
      <c r="G467" s="202"/>
      <c r="H467" s="144"/>
      <c r="J467" s="145"/>
      <c r="K467" s="148"/>
      <c r="L467" s="149"/>
    </row>
    <row r="468" spans="1:12" s="17" customFormat="1" x14ac:dyDescent="0.25">
      <c r="A468" s="229"/>
      <c r="B468" s="55"/>
      <c r="C468" s="55"/>
      <c r="D468" s="55"/>
      <c r="G468" s="202"/>
      <c r="H468" s="144"/>
      <c r="J468" s="145"/>
      <c r="K468" s="148"/>
      <c r="L468" s="149"/>
    </row>
    <row r="469" spans="1:12" s="17" customFormat="1" x14ac:dyDescent="0.25">
      <c r="A469" s="229"/>
      <c r="B469" s="55"/>
      <c r="C469" s="55"/>
      <c r="D469" s="55"/>
      <c r="G469" s="202"/>
      <c r="H469" s="144"/>
      <c r="J469" s="145"/>
      <c r="K469" s="148"/>
      <c r="L469" s="149"/>
    </row>
    <row r="470" spans="1:12" s="17" customFormat="1" x14ac:dyDescent="0.25">
      <c r="A470" s="229"/>
      <c r="B470" s="55"/>
      <c r="C470" s="55"/>
      <c r="D470" s="55"/>
      <c r="G470" s="202"/>
      <c r="H470" s="144"/>
      <c r="J470" s="145"/>
      <c r="K470" s="148"/>
      <c r="L470" s="149"/>
    </row>
    <row r="471" spans="1:12" s="17" customFormat="1" x14ac:dyDescent="0.25">
      <c r="A471" s="229"/>
      <c r="B471" s="55"/>
      <c r="C471" s="55"/>
      <c r="D471" s="55"/>
      <c r="G471" s="202"/>
      <c r="H471" s="144"/>
      <c r="J471" s="145"/>
      <c r="K471" s="148"/>
      <c r="L471" s="149"/>
    </row>
    <row r="472" spans="1:12" s="17" customFormat="1" x14ac:dyDescent="0.25">
      <c r="A472" s="229"/>
      <c r="B472" s="55"/>
      <c r="C472" s="55"/>
      <c r="D472" s="55"/>
      <c r="G472" s="202"/>
      <c r="H472" s="144"/>
      <c r="J472" s="145"/>
      <c r="K472" s="148"/>
      <c r="L472" s="149"/>
    </row>
    <row r="473" spans="1:12" s="17" customFormat="1" x14ac:dyDescent="0.25">
      <c r="A473" s="229"/>
      <c r="B473" s="55"/>
      <c r="C473" s="55"/>
      <c r="D473" s="55"/>
      <c r="G473" s="202"/>
      <c r="H473" s="144"/>
      <c r="J473" s="145"/>
      <c r="K473" s="148"/>
      <c r="L473" s="149"/>
    </row>
    <row r="474" spans="1:12" s="17" customFormat="1" x14ac:dyDescent="0.25">
      <c r="A474" s="229"/>
      <c r="B474" s="55"/>
      <c r="C474" s="55"/>
      <c r="D474" s="55"/>
      <c r="G474" s="202"/>
      <c r="H474" s="144"/>
      <c r="J474" s="145"/>
      <c r="K474" s="148"/>
      <c r="L474" s="149"/>
    </row>
    <row r="475" spans="1:12" s="17" customFormat="1" x14ac:dyDescent="0.25">
      <c r="A475" s="229"/>
      <c r="B475" s="55"/>
      <c r="C475" s="55"/>
      <c r="D475" s="55"/>
      <c r="G475" s="202"/>
      <c r="H475" s="144"/>
      <c r="J475" s="145"/>
      <c r="K475" s="148"/>
      <c r="L475" s="149"/>
    </row>
    <row r="476" spans="1:12" s="17" customFormat="1" x14ac:dyDescent="0.25">
      <c r="A476" s="229"/>
      <c r="B476" s="55"/>
      <c r="C476" s="55"/>
      <c r="D476" s="55"/>
      <c r="G476" s="202"/>
      <c r="H476" s="144"/>
      <c r="J476" s="145"/>
      <c r="K476" s="148"/>
      <c r="L476" s="149"/>
    </row>
    <row r="477" spans="1:12" s="17" customFormat="1" x14ac:dyDescent="0.25">
      <c r="A477" s="229"/>
      <c r="B477" s="55"/>
      <c r="C477" s="55"/>
      <c r="D477" s="55"/>
      <c r="G477" s="202"/>
      <c r="H477" s="144"/>
      <c r="J477" s="145"/>
      <c r="K477" s="148"/>
      <c r="L477" s="149"/>
    </row>
    <row r="478" spans="1:12" s="17" customFormat="1" x14ac:dyDescent="0.25">
      <c r="A478" s="229"/>
      <c r="B478" s="55"/>
      <c r="C478" s="55"/>
      <c r="D478" s="55"/>
      <c r="G478" s="202"/>
      <c r="H478" s="144"/>
      <c r="J478" s="145"/>
      <c r="K478" s="148"/>
      <c r="L478" s="149"/>
    </row>
    <row r="479" spans="1:12" s="17" customFormat="1" x14ac:dyDescent="0.25">
      <c r="A479" s="229"/>
      <c r="B479" s="55"/>
      <c r="C479" s="55"/>
      <c r="D479" s="55"/>
      <c r="G479" s="202"/>
      <c r="H479" s="144"/>
      <c r="J479" s="145"/>
      <c r="K479" s="148"/>
      <c r="L479" s="149"/>
    </row>
    <row r="480" spans="1:12" s="17" customFormat="1" x14ac:dyDescent="0.25">
      <c r="A480" s="229"/>
      <c r="B480" s="55"/>
      <c r="C480" s="55"/>
      <c r="D480" s="55"/>
      <c r="G480" s="202"/>
      <c r="H480" s="144"/>
      <c r="J480" s="145"/>
      <c r="K480" s="148"/>
      <c r="L480" s="149"/>
    </row>
    <row r="481" spans="1:12" s="17" customFormat="1" x14ac:dyDescent="0.25">
      <c r="A481" s="229"/>
      <c r="B481" s="55"/>
      <c r="C481" s="55"/>
      <c r="D481" s="55"/>
      <c r="G481" s="202"/>
      <c r="H481" s="144"/>
      <c r="J481" s="145"/>
      <c r="K481" s="148"/>
      <c r="L481" s="149"/>
    </row>
    <row r="482" spans="1:12" s="17" customFormat="1" x14ac:dyDescent="0.25">
      <c r="A482" s="229"/>
      <c r="B482" s="55"/>
      <c r="C482" s="55"/>
      <c r="D482" s="55"/>
      <c r="G482" s="202"/>
      <c r="H482" s="144"/>
      <c r="J482" s="145"/>
      <c r="K482" s="148"/>
      <c r="L482" s="149"/>
    </row>
    <row r="483" spans="1:12" s="17" customFormat="1" x14ac:dyDescent="0.25">
      <c r="A483" s="229"/>
      <c r="B483" s="55"/>
      <c r="C483" s="55"/>
      <c r="D483" s="55"/>
      <c r="G483" s="202"/>
      <c r="H483" s="144"/>
      <c r="J483" s="145"/>
      <c r="K483" s="148"/>
      <c r="L483" s="149"/>
    </row>
    <row r="484" spans="1:12" s="17" customFormat="1" x14ac:dyDescent="0.25">
      <c r="A484" s="229"/>
      <c r="B484" s="55"/>
      <c r="C484" s="55"/>
      <c r="D484" s="55"/>
      <c r="G484" s="202"/>
      <c r="H484" s="144"/>
      <c r="J484" s="145"/>
      <c r="K484" s="148"/>
      <c r="L484" s="149"/>
    </row>
    <row r="485" spans="1:12" s="17" customFormat="1" x14ac:dyDescent="0.25">
      <c r="A485" s="229"/>
      <c r="B485" s="55"/>
      <c r="C485" s="55"/>
      <c r="D485" s="55"/>
      <c r="G485" s="202"/>
      <c r="H485" s="144"/>
      <c r="J485" s="145"/>
      <c r="K485" s="148"/>
      <c r="L485" s="149"/>
    </row>
    <row r="486" spans="1:12" s="17" customFormat="1" x14ac:dyDescent="0.25">
      <c r="A486" s="229"/>
      <c r="B486" s="55"/>
      <c r="C486" s="55"/>
      <c r="D486" s="55"/>
      <c r="G486" s="202"/>
      <c r="H486" s="144"/>
      <c r="J486" s="145"/>
      <c r="K486" s="148"/>
      <c r="L486" s="149"/>
    </row>
    <row r="487" spans="1:12" s="17" customFormat="1" x14ac:dyDescent="0.25">
      <c r="A487" s="229"/>
      <c r="B487" s="55"/>
      <c r="C487" s="55"/>
      <c r="D487" s="55"/>
      <c r="G487" s="202"/>
      <c r="H487" s="144"/>
      <c r="J487" s="145"/>
      <c r="K487" s="148"/>
      <c r="L487" s="149"/>
    </row>
    <row r="488" spans="1:12" s="17" customFormat="1" x14ac:dyDescent="0.25">
      <c r="A488" s="229"/>
      <c r="B488" s="55"/>
      <c r="C488" s="55"/>
      <c r="D488" s="55"/>
      <c r="G488" s="202"/>
      <c r="H488" s="144"/>
      <c r="J488" s="145"/>
      <c r="K488" s="148"/>
      <c r="L488" s="149"/>
    </row>
    <row r="489" spans="1:12" s="17" customFormat="1" x14ac:dyDescent="0.25">
      <c r="A489" s="229"/>
      <c r="B489" s="55"/>
      <c r="C489" s="55"/>
      <c r="D489" s="55"/>
      <c r="G489" s="202"/>
      <c r="H489" s="144"/>
      <c r="J489" s="145"/>
      <c r="K489" s="148"/>
      <c r="L489" s="149"/>
    </row>
    <row r="490" spans="1:12" s="17" customFormat="1" x14ac:dyDescent="0.25">
      <c r="A490" s="229"/>
      <c r="B490" s="55"/>
      <c r="C490" s="55"/>
      <c r="D490" s="55"/>
      <c r="G490" s="202"/>
      <c r="H490" s="144"/>
      <c r="J490" s="145"/>
      <c r="K490" s="148"/>
      <c r="L490" s="149"/>
    </row>
    <row r="491" spans="1:12" s="17" customFormat="1" x14ac:dyDescent="0.25">
      <c r="A491" s="229"/>
      <c r="B491" s="55"/>
      <c r="C491" s="55"/>
      <c r="D491" s="55"/>
      <c r="G491" s="202"/>
      <c r="H491" s="144"/>
      <c r="J491" s="145"/>
      <c r="K491" s="148"/>
      <c r="L491" s="149"/>
    </row>
    <row r="492" spans="1:12" s="17" customFormat="1" x14ac:dyDescent="0.25">
      <c r="A492" s="229"/>
      <c r="B492" s="55"/>
      <c r="C492" s="55"/>
      <c r="D492" s="55"/>
      <c r="G492" s="202"/>
      <c r="H492" s="144"/>
      <c r="J492" s="145"/>
      <c r="K492" s="148"/>
      <c r="L492" s="149"/>
    </row>
    <row r="493" spans="1:12" s="17" customFormat="1" x14ac:dyDescent="0.25">
      <c r="A493" s="229"/>
      <c r="B493" s="55"/>
      <c r="C493" s="55"/>
      <c r="D493" s="55"/>
      <c r="G493" s="202"/>
      <c r="H493" s="144"/>
      <c r="J493" s="145"/>
      <c r="K493" s="148"/>
      <c r="L493" s="149"/>
    </row>
    <row r="494" spans="1:12" s="17" customFormat="1" x14ac:dyDescent="0.25">
      <c r="A494" s="229"/>
      <c r="B494" s="55"/>
      <c r="C494" s="55"/>
      <c r="D494" s="55"/>
      <c r="G494" s="202"/>
      <c r="H494" s="144"/>
      <c r="J494" s="145"/>
      <c r="K494" s="148"/>
      <c r="L494" s="149"/>
    </row>
    <row r="495" spans="1:12" s="17" customFormat="1" x14ac:dyDescent="0.25">
      <c r="A495" s="229"/>
      <c r="B495" s="55"/>
      <c r="C495" s="55"/>
      <c r="D495" s="55"/>
      <c r="G495" s="202"/>
      <c r="H495" s="144"/>
      <c r="J495" s="145"/>
      <c r="K495" s="148"/>
      <c r="L495" s="149"/>
    </row>
    <row r="496" spans="1:12" s="17" customFormat="1" x14ac:dyDescent="0.25">
      <c r="A496" s="229"/>
      <c r="B496" s="55"/>
      <c r="C496" s="55"/>
      <c r="D496" s="55"/>
      <c r="G496" s="202"/>
      <c r="H496" s="144"/>
      <c r="J496" s="145"/>
      <c r="K496" s="148"/>
      <c r="L496" s="149"/>
    </row>
    <row r="497" spans="1:12" s="17" customFormat="1" x14ac:dyDescent="0.25">
      <c r="A497" s="229"/>
      <c r="B497" s="55"/>
      <c r="C497" s="55"/>
      <c r="D497" s="55"/>
      <c r="G497" s="202"/>
      <c r="H497" s="144"/>
      <c r="J497" s="145"/>
      <c r="K497" s="148"/>
      <c r="L497" s="149"/>
    </row>
    <row r="498" spans="1:12" s="17" customFormat="1" x14ac:dyDescent="0.25">
      <c r="A498" s="229"/>
      <c r="B498" s="55"/>
      <c r="C498" s="55"/>
      <c r="D498" s="55"/>
      <c r="G498" s="202"/>
      <c r="H498" s="144"/>
      <c r="J498" s="145"/>
      <c r="K498" s="148"/>
      <c r="L498" s="149"/>
    </row>
    <row r="499" spans="1:12" s="17" customFormat="1" x14ac:dyDescent="0.25">
      <c r="A499" s="229"/>
      <c r="B499" s="55"/>
      <c r="C499" s="55"/>
      <c r="D499" s="55"/>
      <c r="G499" s="202"/>
      <c r="H499" s="144"/>
      <c r="J499" s="145"/>
      <c r="K499" s="148"/>
      <c r="L499" s="149"/>
    </row>
    <row r="500" spans="1:12" s="17" customFormat="1" x14ac:dyDescent="0.25">
      <c r="A500" s="229"/>
      <c r="B500" s="55"/>
      <c r="C500" s="55"/>
      <c r="D500" s="55"/>
      <c r="G500" s="202"/>
      <c r="H500" s="144"/>
      <c r="J500" s="145"/>
      <c r="K500" s="148"/>
      <c r="L500" s="149"/>
    </row>
    <row r="501" spans="1:12" s="17" customFormat="1" x14ac:dyDescent="0.25">
      <c r="A501" s="229"/>
      <c r="B501" s="55"/>
      <c r="C501" s="55"/>
      <c r="D501" s="55"/>
      <c r="G501" s="202"/>
      <c r="H501" s="144"/>
      <c r="J501" s="145"/>
      <c r="K501" s="148"/>
      <c r="L501" s="149"/>
    </row>
    <row r="502" spans="1:12" s="17" customFormat="1" x14ac:dyDescent="0.25">
      <c r="A502" s="229"/>
      <c r="B502" s="55"/>
      <c r="C502" s="55"/>
      <c r="D502" s="55"/>
      <c r="G502" s="202"/>
      <c r="H502" s="144"/>
      <c r="J502" s="145"/>
      <c r="K502" s="148"/>
      <c r="L502" s="149"/>
    </row>
    <row r="503" spans="1:12" s="17" customFormat="1" x14ac:dyDescent="0.25">
      <c r="A503" s="229"/>
      <c r="B503" s="55"/>
      <c r="C503" s="55"/>
      <c r="D503" s="55"/>
      <c r="G503" s="202"/>
      <c r="H503" s="144"/>
      <c r="J503" s="145"/>
      <c r="K503" s="148"/>
      <c r="L503" s="149"/>
    </row>
    <row r="504" spans="1:12" s="17" customFormat="1" x14ac:dyDescent="0.25">
      <c r="A504" s="229"/>
      <c r="B504" s="55"/>
      <c r="C504" s="55"/>
      <c r="D504" s="55"/>
      <c r="G504" s="202"/>
      <c r="H504" s="144"/>
      <c r="J504" s="145"/>
      <c r="K504" s="148"/>
      <c r="L504" s="149"/>
    </row>
    <row r="505" spans="1:12" s="17" customFormat="1" x14ac:dyDescent="0.25">
      <c r="A505" s="229"/>
      <c r="B505" s="55"/>
      <c r="C505" s="55"/>
      <c r="D505" s="55"/>
      <c r="G505" s="202"/>
      <c r="H505" s="144"/>
      <c r="J505" s="145"/>
      <c r="K505" s="148"/>
      <c r="L505" s="149"/>
    </row>
    <row r="506" spans="1:12" s="17" customFormat="1" x14ac:dyDescent="0.25">
      <c r="A506" s="229"/>
      <c r="B506" s="55"/>
      <c r="C506" s="55"/>
      <c r="D506" s="55"/>
      <c r="G506" s="202"/>
      <c r="H506" s="144"/>
      <c r="J506" s="145"/>
      <c r="K506" s="148"/>
      <c r="L506" s="149"/>
    </row>
    <row r="507" spans="1:12" s="17" customFormat="1" x14ac:dyDescent="0.25">
      <c r="A507" s="229"/>
      <c r="B507" s="55"/>
      <c r="C507" s="55"/>
      <c r="D507" s="55"/>
      <c r="G507" s="202"/>
      <c r="H507" s="144"/>
      <c r="J507" s="145"/>
      <c r="K507" s="148"/>
      <c r="L507" s="149"/>
    </row>
    <row r="508" spans="1:12" s="17" customFormat="1" x14ac:dyDescent="0.25">
      <c r="A508" s="229"/>
      <c r="B508" s="55"/>
      <c r="C508" s="55"/>
      <c r="D508" s="55"/>
      <c r="G508" s="202"/>
      <c r="H508" s="144"/>
      <c r="J508" s="145"/>
      <c r="K508" s="148"/>
      <c r="L508" s="149"/>
    </row>
    <row r="509" spans="1:12" s="17" customFormat="1" x14ac:dyDescent="0.25">
      <c r="A509" s="229"/>
      <c r="B509" s="55"/>
      <c r="C509" s="55"/>
      <c r="D509" s="55"/>
      <c r="G509" s="202"/>
      <c r="H509" s="144"/>
      <c r="J509" s="145"/>
      <c r="K509" s="148"/>
      <c r="L509" s="149"/>
    </row>
    <row r="510" spans="1:12" s="17" customFormat="1" x14ac:dyDescent="0.25">
      <c r="A510" s="229"/>
      <c r="B510" s="55"/>
      <c r="C510" s="55"/>
      <c r="D510" s="55"/>
      <c r="G510" s="202"/>
      <c r="H510" s="144"/>
      <c r="J510" s="145"/>
      <c r="K510" s="148"/>
      <c r="L510" s="149"/>
    </row>
    <row r="511" spans="1:12" s="17" customFormat="1" x14ac:dyDescent="0.25">
      <c r="A511" s="229"/>
      <c r="B511" s="55"/>
      <c r="C511" s="55"/>
      <c r="D511" s="55"/>
      <c r="G511" s="202"/>
      <c r="H511" s="144"/>
      <c r="J511" s="145"/>
      <c r="K511" s="148"/>
      <c r="L511" s="149"/>
    </row>
    <row r="512" spans="1:12" s="17" customFormat="1" x14ac:dyDescent="0.25">
      <c r="A512" s="229"/>
      <c r="B512" s="55"/>
      <c r="C512" s="55"/>
      <c r="D512" s="55"/>
      <c r="G512" s="202"/>
      <c r="H512" s="144"/>
      <c r="J512" s="145"/>
      <c r="K512" s="148"/>
      <c r="L512" s="149"/>
    </row>
    <row r="513" spans="1:12" s="17" customFormat="1" x14ac:dyDescent="0.25">
      <c r="A513" s="229"/>
      <c r="B513" s="55"/>
      <c r="C513" s="55"/>
      <c r="D513" s="55"/>
      <c r="G513" s="202"/>
      <c r="H513" s="144"/>
      <c r="J513" s="145"/>
      <c r="K513" s="148"/>
      <c r="L513" s="149"/>
    </row>
    <row r="514" spans="1:12" s="17" customFormat="1" x14ac:dyDescent="0.25">
      <c r="A514" s="229"/>
      <c r="B514" s="55"/>
      <c r="C514" s="55"/>
      <c r="D514" s="55"/>
      <c r="G514" s="202"/>
      <c r="H514" s="144"/>
      <c r="J514" s="145"/>
      <c r="K514" s="148"/>
      <c r="L514" s="149"/>
    </row>
    <row r="515" spans="1:12" s="17" customFormat="1" x14ac:dyDescent="0.25">
      <c r="A515" s="229"/>
      <c r="B515" s="55"/>
      <c r="C515" s="55"/>
      <c r="D515" s="55"/>
      <c r="G515" s="202"/>
      <c r="H515" s="144"/>
      <c r="J515" s="145"/>
      <c r="K515" s="148"/>
      <c r="L515" s="149"/>
    </row>
    <row r="516" spans="1:12" s="17" customFormat="1" x14ac:dyDescent="0.25">
      <c r="A516" s="229"/>
      <c r="B516" s="55"/>
      <c r="C516" s="55"/>
      <c r="D516" s="55"/>
      <c r="G516" s="202"/>
      <c r="H516" s="144"/>
      <c r="J516" s="145"/>
      <c r="K516" s="148"/>
      <c r="L516" s="149"/>
    </row>
    <row r="517" spans="1:12" s="17" customFormat="1" x14ac:dyDescent="0.25">
      <c r="A517" s="229"/>
      <c r="B517" s="55"/>
      <c r="C517" s="55"/>
      <c r="D517" s="55"/>
      <c r="G517" s="202"/>
      <c r="H517" s="144"/>
      <c r="J517" s="145"/>
      <c r="K517" s="148"/>
      <c r="L517" s="149"/>
    </row>
    <row r="518" spans="1:12" s="17" customFormat="1" x14ac:dyDescent="0.25">
      <c r="A518" s="229"/>
      <c r="B518" s="55"/>
      <c r="C518" s="55"/>
      <c r="D518" s="55"/>
      <c r="G518" s="202"/>
      <c r="H518" s="144"/>
      <c r="J518" s="145"/>
      <c r="K518" s="148"/>
      <c r="L518" s="149"/>
    </row>
    <row r="519" spans="1:12" s="17" customFormat="1" x14ac:dyDescent="0.25">
      <c r="A519" s="229"/>
      <c r="B519" s="55"/>
      <c r="C519" s="55"/>
      <c r="D519" s="55"/>
      <c r="G519" s="202"/>
      <c r="H519" s="144"/>
      <c r="J519" s="145"/>
      <c r="K519" s="148"/>
      <c r="L519" s="149"/>
    </row>
    <row r="520" spans="1:12" s="17" customFormat="1" x14ac:dyDescent="0.25">
      <c r="A520" s="229"/>
      <c r="B520" s="55"/>
      <c r="C520" s="55"/>
      <c r="D520" s="55"/>
      <c r="G520" s="202"/>
      <c r="H520" s="144"/>
      <c r="J520" s="145"/>
      <c r="K520" s="148"/>
      <c r="L520" s="149"/>
    </row>
    <row r="521" spans="1:12" s="17" customFormat="1" x14ac:dyDescent="0.25">
      <c r="A521" s="229"/>
      <c r="B521" s="55"/>
      <c r="C521" s="55"/>
      <c r="D521" s="55"/>
      <c r="G521" s="202"/>
      <c r="H521" s="144"/>
      <c r="J521" s="145"/>
      <c r="K521" s="148"/>
      <c r="L521" s="149"/>
    </row>
    <row r="522" spans="1:12" s="17" customFormat="1" x14ac:dyDescent="0.25">
      <c r="A522" s="229"/>
      <c r="B522" s="55"/>
      <c r="C522" s="55"/>
      <c r="D522" s="55"/>
      <c r="G522" s="202"/>
      <c r="H522" s="144"/>
      <c r="J522" s="145"/>
      <c r="K522" s="148"/>
      <c r="L522" s="149"/>
    </row>
    <row r="523" spans="1:12" s="17" customFormat="1" x14ac:dyDescent="0.25">
      <c r="A523" s="229"/>
      <c r="B523" s="55"/>
      <c r="C523" s="55"/>
      <c r="D523" s="55"/>
      <c r="G523" s="202"/>
      <c r="H523" s="144"/>
      <c r="J523" s="145"/>
      <c r="K523" s="148"/>
      <c r="L523" s="149"/>
    </row>
    <row r="524" spans="1:12" s="17" customFormat="1" x14ac:dyDescent="0.25">
      <c r="A524" s="229"/>
      <c r="B524" s="55"/>
      <c r="C524" s="55"/>
      <c r="D524" s="55"/>
      <c r="G524" s="202"/>
      <c r="H524" s="144"/>
      <c r="J524" s="145"/>
      <c r="K524" s="148"/>
      <c r="L524" s="149"/>
    </row>
    <row r="525" spans="1:12" s="17" customFormat="1" x14ac:dyDescent="0.25">
      <c r="A525" s="229"/>
      <c r="B525" s="55"/>
      <c r="C525" s="55"/>
      <c r="D525" s="55"/>
      <c r="G525" s="202"/>
      <c r="H525" s="144"/>
      <c r="J525" s="145"/>
      <c r="K525" s="148"/>
      <c r="L525" s="149"/>
    </row>
    <row r="526" spans="1:12" s="17" customFormat="1" x14ac:dyDescent="0.25">
      <c r="A526" s="229"/>
      <c r="B526" s="55"/>
      <c r="C526" s="55"/>
      <c r="D526" s="55"/>
      <c r="G526" s="202"/>
      <c r="H526" s="144"/>
      <c r="J526" s="145"/>
      <c r="K526" s="148"/>
      <c r="L526" s="149"/>
    </row>
    <row r="527" spans="1:12" s="17" customFormat="1" x14ac:dyDescent="0.25">
      <c r="A527" s="229"/>
      <c r="B527" s="55"/>
      <c r="C527" s="55"/>
      <c r="D527" s="55"/>
      <c r="G527" s="202"/>
      <c r="H527" s="144"/>
      <c r="J527" s="145"/>
      <c r="K527" s="148"/>
      <c r="L527" s="149"/>
    </row>
    <row r="528" spans="1:12" s="17" customFormat="1" x14ac:dyDescent="0.25">
      <c r="A528" s="229"/>
      <c r="B528" s="55"/>
      <c r="C528" s="55"/>
      <c r="D528" s="55"/>
      <c r="G528" s="202"/>
      <c r="H528" s="144"/>
      <c r="J528" s="145"/>
      <c r="K528" s="148"/>
      <c r="L528" s="149"/>
    </row>
    <row r="529" spans="1:12" s="17" customFormat="1" x14ac:dyDescent="0.25">
      <c r="A529" s="229"/>
      <c r="B529" s="55"/>
      <c r="C529" s="55"/>
      <c r="D529" s="55"/>
      <c r="G529" s="202"/>
      <c r="H529" s="144"/>
      <c r="J529" s="145"/>
      <c r="K529" s="148"/>
      <c r="L529" s="149"/>
    </row>
    <row r="530" spans="1:12" s="17" customFormat="1" x14ac:dyDescent="0.25">
      <c r="A530" s="229"/>
      <c r="B530" s="55"/>
      <c r="C530" s="55"/>
      <c r="D530" s="55"/>
      <c r="G530" s="202"/>
      <c r="H530" s="144"/>
      <c r="J530" s="145"/>
      <c r="K530" s="148"/>
      <c r="L530" s="149"/>
    </row>
    <row r="531" spans="1:12" s="17" customFormat="1" x14ac:dyDescent="0.25">
      <c r="A531" s="229"/>
      <c r="B531" s="55"/>
      <c r="C531" s="55"/>
      <c r="D531" s="55"/>
      <c r="G531" s="202"/>
      <c r="H531" s="144"/>
      <c r="J531" s="145"/>
      <c r="K531" s="148"/>
      <c r="L531" s="149"/>
    </row>
    <row r="532" spans="1:12" s="17" customFormat="1" x14ac:dyDescent="0.25">
      <c r="A532" s="229"/>
      <c r="B532" s="55"/>
      <c r="C532" s="55"/>
      <c r="D532" s="55"/>
      <c r="G532" s="202"/>
      <c r="H532" s="144"/>
      <c r="J532" s="145"/>
      <c r="K532" s="148"/>
      <c r="L532" s="149"/>
    </row>
    <row r="533" spans="1:12" s="17" customFormat="1" x14ac:dyDescent="0.25">
      <c r="A533" s="229"/>
      <c r="B533" s="55"/>
      <c r="C533" s="55"/>
      <c r="D533" s="55"/>
      <c r="G533" s="202"/>
      <c r="H533" s="144"/>
      <c r="J533" s="145"/>
      <c r="K533" s="148"/>
      <c r="L533" s="149"/>
    </row>
    <row r="534" spans="1:12" s="17" customFormat="1" x14ac:dyDescent="0.25">
      <c r="A534" s="229"/>
      <c r="B534" s="55"/>
      <c r="C534" s="55"/>
      <c r="D534" s="55"/>
      <c r="G534" s="202"/>
      <c r="H534" s="144"/>
      <c r="J534" s="145"/>
      <c r="K534" s="148"/>
      <c r="L534" s="149"/>
    </row>
    <row r="535" spans="1:12" s="17" customFormat="1" x14ac:dyDescent="0.25">
      <c r="A535" s="229"/>
      <c r="B535" s="55"/>
      <c r="C535" s="55"/>
      <c r="D535" s="55"/>
      <c r="G535" s="202"/>
      <c r="H535" s="144"/>
      <c r="J535" s="145"/>
      <c r="K535" s="148"/>
      <c r="L535" s="149"/>
    </row>
    <row r="536" spans="1:12" s="17" customFormat="1" x14ac:dyDescent="0.25">
      <c r="A536" s="229"/>
      <c r="B536" s="55"/>
      <c r="C536" s="55"/>
      <c r="D536" s="55"/>
      <c r="G536" s="202"/>
      <c r="H536" s="144"/>
      <c r="J536" s="145"/>
      <c r="K536" s="148"/>
      <c r="L536" s="149"/>
    </row>
    <row r="537" spans="1:12" s="17" customFormat="1" x14ac:dyDescent="0.25">
      <c r="A537" s="229"/>
      <c r="B537" s="55"/>
      <c r="C537" s="55"/>
      <c r="D537" s="55"/>
      <c r="G537" s="202"/>
      <c r="H537" s="144"/>
      <c r="J537" s="145"/>
      <c r="K537" s="148"/>
      <c r="L537" s="149"/>
    </row>
    <row r="538" spans="1:12" s="17" customFormat="1" x14ac:dyDescent="0.25">
      <c r="A538" s="229"/>
      <c r="B538" s="55"/>
      <c r="C538" s="55"/>
      <c r="D538" s="55"/>
      <c r="G538" s="202"/>
      <c r="H538" s="144"/>
      <c r="J538" s="145"/>
      <c r="K538" s="148"/>
      <c r="L538" s="149"/>
    </row>
    <row r="539" spans="1:12" s="17" customFormat="1" x14ac:dyDescent="0.25">
      <c r="A539" s="229"/>
      <c r="B539" s="55"/>
      <c r="C539" s="55"/>
      <c r="D539" s="55"/>
      <c r="G539" s="202"/>
      <c r="H539" s="144"/>
      <c r="J539" s="145"/>
      <c r="K539" s="148"/>
      <c r="L539" s="149"/>
    </row>
    <row r="540" spans="1:12" s="17" customFormat="1" x14ac:dyDescent="0.25">
      <c r="A540" s="229"/>
      <c r="B540" s="55"/>
      <c r="C540" s="55"/>
      <c r="D540" s="55"/>
      <c r="G540" s="202"/>
      <c r="H540" s="144"/>
      <c r="J540" s="145"/>
      <c r="K540" s="148"/>
      <c r="L540" s="149"/>
    </row>
    <row r="541" spans="1:12" s="17" customFormat="1" x14ac:dyDescent="0.25">
      <c r="A541" s="229"/>
      <c r="B541" s="55"/>
      <c r="C541" s="55"/>
      <c r="D541" s="55"/>
      <c r="G541" s="202"/>
      <c r="H541" s="144"/>
      <c r="J541" s="145"/>
      <c r="K541" s="148"/>
      <c r="L541" s="149"/>
    </row>
    <row r="542" spans="1:12" s="17" customFormat="1" x14ac:dyDescent="0.25">
      <c r="A542" s="229"/>
      <c r="B542" s="55"/>
      <c r="C542" s="55"/>
      <c r="D542" s="55"/>
      <c r="G542" s="202"/>
      <c r="H542" s="144"/>
      <c r="J542" s="145"/>
      <c r="K542" s="148"/>
      <c r="L542" s="149"/>
    </row>
    <row r="543" spans="1:12" s="17" customFormat="1" x14ac:dyDescent="0.25">
      <c r="A543" s="229"/>
      <c r="B543" s="55"/>
      <c r="C543" s="55"/>
      <c r="D543" s="55"/>
      <c r="G543" s="202"/>
      <c r="H543" s="144"/>
      <c r="J543" s="145"/>
      <c r="K543" s="148"/>
      <c r="L543" s="149"/>
    </row>
    <row r="544" spans="1:12" s="17" customFormat="1" x14ac:dyDescent="0.25">
      <c r="A544" s="229"/>
      <c r="B544" s="55"/>
      <c r="C544" s="55"/>
      <c r="D544" s="55"/>
      <c r="G544" s="202"/>
      <c r="H544" s="144"/>
      <c r="J544" s="145"/>
      <c r="K544" s="148"/>
      <c r="L544" s="149"/>
    </row>
    <row r="545" spans="1:12" s="17" customFormat="1" x14ac:dyDescent="0.25">
      <c r="A545" s="229"/>
      <c r="B545" s="55"/>
      <c r="C545" s="55"/>
      <c r="D545" s="55"/>
      <c r="G545" s="202"/>
      <c r="H545" s="144"/>
      <c r="J545" s="145"/>
      <c r="K545" s="148"/>
      <c r="L545" s="149"/>
    </row>
    <row r="546" spans="1:12" s="17" customFormat="1" x14ac:dyDescent="0.25">
      <c r="A546" s="229"/>
      <c r="B546" s="55"/>
      <c r="C546" s="55"/>
      <c r="D546" s="55"/>
      <c r="G546" s="202"/>
      <c r="H546" s="144"/>
      <c r="J546" s="145"/>
      <c r="K546" s="148"/>
      <c r="L546" s="149"/>
    </row>
    <row r="547" spans="1:12" s="17" customFormat="1" x14ac:dyDescent="0.25">
      <c r="A547" s="229"/>
      <c r="B547" s="55"/>
      <c r="C547" s="55"/>
      <c r="D547" s="55"/>
      <c r="G547" s="202"/>
      <c r="H547" s="144"/>
      <c r="J547" s="145"/>
      <c r="K547" s="148"/>
      <c r="L547" s="149"/>
    </row>
    <row r="548" spans="1:12" s="17" customFormat="1" x14ac:dyDescent="0.25">
      <c r="A548" s="229"/>
      <c r="B548" s="55"/>
      <c r="C548" s="55"/>
      <c r="D548" s="55"/>
      <c r="G548" s="202"/>
      <c r="H548" s="144"/>
      <c r="J548" s="145"/>
      <c r="K548" s="148"/>
      <c r="L548" s="149"/>
    </row>
    <row r="549" spans="1:12" s="17" customFormat="1" x14ac:dyDescent="0.25">
      <c r="A549" s="229"/>
      <c r="B549" s="55"/>
      <c r="C549" s="55"/>
      <c r="D549" s="55"/>
      <c r="G549" s="202"/>
      <c r="H549" s="144"/>
      <c r="J549" s="145"/>
      <c r="K549" s="148"/>
      <c r="L549" s="149"/>
    </row>
    <row r="550" spans="1:12" s="17" customFormat="1" x14ac:dyDescent="0.25">
      <c r="A550" s="229"/>
      <c r="B550" s="55"/>
      <c r="C550" s="55"/>
      <c r="D550" s="55"/>
      <c r="G550" s="202"/>
      <c r="H550" s="144"/>
      <c r="J550" s="145"/>
      <c r="K550" s="148"/>
      <c r="L550" s="149"/>
    </row>
    <row r="551" spans="1:12" s="17" customFormat="1" x14ac:dyDescent="0.25">
      <c r="A551" s="229"/>
      <c r="B551" s="55"/>
      <c r="C551" s="55"/>
      <c r="D551" s="55"/>
      <c r="G551" s="202"/>
      <c r="H551" s="144"/>
      <c r="J551" s="145"/>
      <c r="K551" s="148"/>
      <c r="L551" s="149"/>
    </row>
    <row r="552" spans="1:12" s="17" customFormat="1" x14ac:dyDescent="0.25">
      <c r="A552" s="229"/>
      <c r="B552" s="55"/>
      <c r="C552" s="55"/>
      <c r="D552" s="55"/>
      <c r="G552" s="202"/>
      <c r="H552" s="144"/>
      <c r="J552" s="145"/>
      <c r="K552" s="148"/>
      <c r="L552" s="149"/>
    </row>
    <row r="553" spans="1:12" s="17" customFormat="1" x14ac:dyDescent="0.25">
      <c r="A553" s="229"/>
      <c r="B553" s="55"/>
      <c r="C553" s="55"/>
      <c r="D553" s="55"/>
      <c r="G553" s="202"/>
      <c r="H553" s="144"/>
      <c r="J553" s="145"/>
      <c r="K553" s="148"/>
      <c r="L553" s="149"/>
    </row>
    <row r="554" spans="1:12" s="17" customFormat="1" x14ac:dyDescent="0.25">
      <c r="A554" s="229"/>
      <c r="B554" s="55"/>
      <c r="C554" s="55"/>
      <c r="D554" s="55"/>
      <c r="G554" s="202"/>
      <c r="H554" s="144"/>
      <c r="J554" s="145"/>
      <c r="K554" s="148"/>
      <c r="L554" s="149"/>
    </row>
    <row r="555" spans="1:12" s="17" customFormat="1" x14ac:dyDescent="0.25">
      <c r="A555" s="229"/>
      <c r="B555" s="55"/>
      <c r="C555" s="55"/>
      <c r="D555" s="55"/>
      <c r="G555" s="202"/>
      <c r="H555" s="144"/>
      <c r="J555" s="145"/>
      <c r="K555" s="148"/>
      <c r="L555" s="149"/>
    </row>
    <row r="556" spans="1:12" s="17" customFormat="1" x14ac:dyDescent="0.25">
      <c r="A556" s="229"/>
      <c r="B556" s="55"/>
      <c r="C556" s="55"/>
      <c r="D556" s="55"/>
      <c r="G556" s="202"/>
      <c r="H556" s="144"/>
      <c r="J556" s="145"/>
      <c r="K556" s="148"/>
      <c r="L556" s="149"/>
    </row>
    <row r="557" spans="1:12" s="17" customFormat="1" x14ac:dyDescent="0.25">
      <c r="A557" s="229"/>
      <c r="B557" s="55"/>
      <c r="C557" s="55"/>
      <c r="D557" s="55"/>
      <c r="G557" s="202"/>
      <c r="H557" s="144"/>
      <c r="J557" s="145"/>
      <c r="K557" s="148"/>
      <c r="L557" s="149"/>
    </row>
    <row r="558" spans="1:12" s="17" customFormat="1" x14ac:dyDescent="0.25">
      <c r="A558" s="229"/>
      <c r="B558" s="55"/>
      <c r="C558" s="55"/>
      <c r="D558" s="55"/>
      <c r="G558" s="202"/>
      <c r="H558" s="144"/>
      <c r="J558" s="145"/>
      <c r="K558" s="148"/>
      <c r="L558" s="149"/>
    </row>
    <row r="559" spans="1:12" s="17" customFormat="1" x14ac:dyDescent="0.25">
      <c r="A559" s="229"/>
      <c r="B559" s="55"/>
      <c r="C559" s="55"/>
      <c r="D559" s="55"/>
      <c r="G559" s="202"/>
      <c r="H559" s="144"/>
      <c r="J559" s="145"/>
      <c r="K559" s="148"/>
      <c r="L559" s="149"/>
    </row>
    <row r="560" spans="1:12" s="17" customFormat="1" x14ac:dyDescent="0.25">
      <c r="A560" s="229"/>
      <c r="B560" s="55"/>
      <c r="C560" s="55"/>
      <c r="D560" s="55"/>
      <c r="G560" s="202"/>
      <c r="H560" s="144"/>
      <c r="J560" s="145"/>
      <c r="K560" s="148"/>
      <c r="L560" s="149"/>
    </row>
    <row r="561" spans="1:12" s="17" customFormat="1" x14ac:dyDescent="0.25">
      <c r="A561" s="229"/>
      <c r="B561" s="55"/>
      <c r="C561" s="55"/>
      <c r="D561" s="55"/>
      <c r="G561" s="202"/>
      <c r="H561" s="144"/>
      <c r="J561" s="145"/>
      <c r="K561" s="148"/>
      <c r="L561" s="149"/>
    </row>
    <row r="562" spans="1:12" s="17" customFormat="1" x14ac:dyDescent="0.25">
      <c r="A562" s="229"/>
      <c r="B562" s="55"/>
      <c r="C562" s="55"/>
      <c r="D562" s="55"/>
      <c r="G562" s="202"/>
      <c r="H562" s="144"/>
      <c r="J562" s="145"/>
      <c r="K562" s="148"/>
      <c r="L562" s="149"/>
    </row>
    <row r="563" spans="1:12" s="17" customFormat="1" x14ac:dyDescent="0.25">
      <c r="A563" s="229"/>
      <c r="B563" s="55"/>
      <c r="C563" s="55"/>
      <c r="D563" s="55"/>
      <c r="G563" s="202"/>
      <c r="H563" s="144"/>
      <c r="J563" s="145"/>
      <c r="K563" s="148"/>
      <c r="L563" s="149"/>
    </row>
    <row r="564" spans="1:12" s="17" customFormat="1" x14ac:dyDescent="0.25">
      <c r="A564" s="229"/>
      <c r="B564" s="55"/>
      <c r="C564" s="55"/>
      <c r="D564" s="55"/>
      <c r="G564" s="202"/>
      <c r="H564" s="144"/>
      <c r="J564" s="145"/>
      <c r="K564" s="148"/>
      <c r="L564" s="149"/>
    </row>
    <row r="565" spans="1:12" s="17" customFormat="1" x14ac:dyDescent="0.25">
      <c r="A565" s="229"/>
      <c r="B565" s="55"/>
      <c r="C565" s="55"/>
      <c r="D565" s="55"/>
      <c r="G565" s="202"/>
      <c r="H565" s="144"/>
      <c r="J565" s="145"/>
      <c r="K565" s="148"/>
      <c r="L565" s="149"/>
    </row>
    <row r="566" spans="1:12" s="17" customFormat="1" x14ac:dyDescent="0.25">
      <c r="A566" s="229"/>
      <c r="B566" s="55"/>
      <c r="C566" s="55"/>
      <c r="D566" s="55"/>
      <c r="G566" s="202"/>
      <c r="H566" s="144"/>
      <c r="J566" s="145"/>
      <c r="K566" s="148"/>
      <c r="L566" s="149"/>
    </row>
    <row r="567" spans="1:12" s="17" customFormat="1" x14ac:dyDescent="0.25">
      <c r="A567" s="229"/>
      <c r="B567" s="55"/>
      <c r="C567" s="55"/>
      <c r="D567" s="55"/>
      <c r="G567" s="202"/>
      <c r="H567" s="144"/>
      <c r="J567" s="145"/>
      <c r="K567" s="148"/>
      <c r="L567" s="149"/>
    </row>
    <row r="568" spans="1:12" s="17" customFormat="1" x14ac:dyDescent="0.25">
      <c r="A568" s="229"/>
      <c r="B568" s="55"/>
      <c r="C568" s="55"/>
      <c r="D568" s="55"/>
      <c r="G568" s="202"/>
      <c r="H568" s="144"/>
      <c r="J568" s="145"/>
      <c r="K568" s="148"/>
      <c r="L568" s="149"/>
    </row>
    <row r="569" spans="1:12" s="17" customFormat="1" x14ac:dyDescent="0.25">
      <c r="A569" s="229"/>
      <c r="B569" s="55"/>
      <c r="C569" s="55"/>
      <c r="D569" s="55"/>
      <c r="G569" s="202"/>
      <c r="H569" s="144"/>
      <c r="J569" s="145"/>
      <c r="K569" s="148"/>
      <c r="L569" s="149"/>
    </row>
    <row r="570" spans="1:12" s="17" customFormat="1" x14ac:dyDescent="0.25">
      <c r="A570" s="229"/>
      <c r="B570" s="55"/>
      <c r="C570" s="55"/>
      <c r="D570" s="55"/>
      <c r="G570" s="202"/>
      <c r="H570" s="144"/>
      <c r="J570" s="145"/>
      <c r="K570" s="148"/>
      <c r="L570" s="149"/>
    </row>
    <row r="571" spans="1:12" s="17" customFormat="1" x14ac:dyDescent="0.25">
      <c r="A571" s="229"/>
      <c r="B571" s="55"/>
      <c r="C571" s="55"/>
      <c r="D571" s="55"/>
      <c r="G571" s="202"/>
      <c r="H571" s="144"/>
      <c r="J571" s="145"/>
      <c r="K571" s="148"/>
      <c r="L571" s="149"/>
    </row>
    <row r="572" spans="1:12" s="17" customFormat="1" x14ac:dyDescent="0.25">
      <c r="A572" s="229"/>
      <c r="B572" s="55"/>
      <c r="C572" s="55"/>
      <c r="D572" s="55"/>
      <c r="G572" s="202"/>
      <c r="H572" s="144"/>
      <c r="J572" s="145"/>
      <c r="K572" s="148"/>
      <c r="L572" s="149"/>
    </row>
    <row r="573" spans="1:12" s="17" customFormat="1" x14ac:dyDescent="0.25">
      <c r="A573" s="229"/>
      <c r="B573" s="55"/>
      <c r="C573" s="55"/>
      <c r="D573" s="55"/>
      <c r="G573" s="202"/>
      <c r="H573" s="144"/>
      <c r="J573" s="145"/>
      <c r="K573" s="148"/>
      <c r="L573" s="149"/>
    </row>
    <row r="574" spans="1:12" s="17" customFormat="1" x14ac:dyDescent="0.25">
      <c r="A574" s="229"/>
      <c r="B574" s="55"/>
      <c r="C574" s="55"/>
      <c r="D574" s="55"/>
      <c r="G574" s="202"/>
      <c r="H574" s="144"/>
      <c r="J574" s="145"/>
      <c r="K574" s="148"/>
      <c r="L574" s="149"/>
    </row>
    <row r="575" spans="1:12" s="17" customFormat="1" x14ac:dyDescent="0.25">
      <c r="A575" s="229"/>
      <c r="B575" s="55"/>
      <c r="C575" s="55"/>
      <c r="D575" s="55"/>
      <c r="G575" s="202"/>
      <c r="H575" s="144"/>
      <c r="J575" s="145"/>
      <c r="K575" s="148"/>
      <c r="L575" s="149"/>
    </row>
    <row r="576" spans="1:12" s="17" customFormat="1" x14ac:dyDescent="0.25">
      <c r="A576" s="229"/>
      <c r="B576" s="55"/>
      <c r="C576" s="55"/>
      <c r="D576" s="55"/>
      <c r="G576" s="202"/>
      <c r="H576" s="144"/>
      <c r="J576" s="145"/>
      <c r="K576" s="148"/>
      <c r="L576" s="149"/>
    </row>
    <row r="577" spans="1:12" s="17" customFormat="1" x14ac:dyDescent="0.25">
      <c r="A577" s="229"/>
      <c r="B577" s="55"/>
      <c r="C577" s="55"/>
      <c r="D577" s="55"/>
      <c r="G577" s="202"/>
      <c r="H577" s="144"/>
      <c r="J577" s="145"/>
      <c r="K577" s="148"/>
      <c r="L577" s="149"/>
    </row>
    <row r="578" spans="1:12" s="17" customFormat="1" x14ac:dyDescent="0.25">
      <c r="A578" s="229"/>
      <c r="B578" s="55"/>
      <c r="C578" s="55"/>
      <c r="D578" s="55"/>
      <c r="G578" s="202"/>
      <c r="H578" s="144"/>
      <c r="J578" s="145"/>
      <c r="K578" s="148"/>
      <c r="L578" s="149"/>
    </row>
    <row r="579" spans="1:12" s="17" customFormat="1" x14ac:dyDescent="0.25">
      <c r="A579" s="229"/>
      <c r="B579" s="55"/>
      <c r="C579" s="55"/>
      <c r="D579" s="55"/>
      <c r="G579" s="202"/>
      <c r="H579" s="144"/>
      <c r="J579" s="145"/>
      <c r="K579" s="148"/>
      <c r="L579" s="149"/>
    </row>
    <row r="580" spans="1:12" s="17" customFormat="1" x14ac:dyDescent="0.25">
      <c r="A580" s="229"/>
      <c r="B580" s="55"/>
      <c r="C580" s="55"/>
      <c r="D580" s="55"/>
      <c r="G580" s="202"/>
      <c r="H580" s="144"/>
      <c r="J580" s="145"/>
      <c r="K580" s="148"/>
      <c r="L580" s="149"/>
    </row>
    <row r="581" spans="1:12" s="17" customFormat="1" x14ac:dyDescent="0.25">
      <c r="A581" s="229"/>
      <c r="B581" s="55"/>
      <c r="C581" s="55"/>
      <c r="D581" s="55"/>
      <c r="G581" s="202"/>
      <c r="H581" s="144"/>
      <c r="J581" s="145"/>
      <c r="K581" s="148"/>
      <c r="L581" s="149"/>
    </row>
    <row r="582" spans="1:12" s="17" customFormat="1" x14ac:dyDescent="0.25">
      <c r="A582" s="229"/>
      <c r="B582" s="55"/>
      <c r="C582" s="55"/>
      <c r="D582" s="55"/>
      <c r="G582" s="202"/>
      <c r="H582" s="144"/>
      <c r="J582" s="145"/>
      <c r="K582" s="148"/>
      <c r="L582" s="149"/>
    </row>
    <row r="583" spans="1:12" s="17" customFormat="1" x14ac:dyDescent="0.25">
      <c r="A583" s="229"/>
      <c r="B583" s="55"/>
      <c r="C583" s="55"/>
      <c r="D583" s="55"/>
      <c r="G583" s="202"/>
      <c r="H583" s="144"/>
      <c r="J583" s="145"/>
      <c r="K583" s="148"/>
      <c r="L583" s="149"/>
    </row>
    <row r="584" spans="1:12" s="17" customFormat="1" x14ac:dyDescent="0.25">
      <c r="A584" s="229"/>
      <c r="B584" s="55"/>
      <c r="C584" s="55"/>
      <c r="D584" s="55"/>
      <c r="G584" s="202"/>
      <c r="H584" s="144"/>
      <c r="J584" s="145"/>
      <c r="K584" s="148"/>
      <c r="L584" s="149"/>
    </row>
    <row r="585" spans="1:12" s="17" customFormat="1" x14ac:dyDescent="0.25">
      <c r="A585" s="229"/>
      <c r="B585" s="55"/>
      <c r="C585" s="55"/>
      <c r="D585" s="55"/>
      <c r="G585" s="202"/>
      <c r="H585" s="144"/>
      <c r="J585" s="145"/>
      <c r="K585" s="148"/>
      <c r="L585" s="149"/>
    </row>
    <row r="586" spans="1:12" s="17" customFormat="1" x14ac:dyDescent="0.25">
      <c r="A586" s="229"/>
      <c r="B586" s="55"/>
      <c r="C586" s="55"/>
      <c r="D586" s="55"/>
      <c r="G586" s="202"/>
      <c r="H586" s="144"/>
      <c r="J586" s="145"/>
      <c r="K586" s="148"/>
      <c r="L586" s="149"/>
    </row>
    <row r="587" spans="1:12" s="17" customFormat="1" x14ac:dyDescent="0.25">
      <c r="A587" s="229"/>
      <c r="B587" s="55"/>
      <c r="C587" s="55"/>
      <c r="D587" s="55"/>
      <c r="G587" s="202"/>
      <c r="H587" s="144"/>
      <c r="J587" s="145"/>
      <c r="K587" s="148"/>
      <c r="L587" s="149"/>
    </row>
    <row r="588" spans="1:12" s="17" customFormat="1" x14ac:dyDescent="0.25">
      <c r="A588" s="229"/>
      <c r="B588" s="55"/>
      <c r="C588" s="55"/>
      <c r="D588" s="55"/>
      <c r="G588" s="202"/>
      <c r="H588" s="144"/>
      <c r="J588" s="145"/>
      <c r="K588" s="148"/>
      <c r="L588" s="149"/>
    </row>
    <row r="589" spans="1:12" s="17" customFormat="1" x14ac:dyDescent="0.25">
      <c r="A589" s="229"/>
      <c r="B589" s="55"/>
      <c r="C589" s="55"/>
      <c r="D589" s="55"/>
      <c r="G589" s="202"/>
      <c r="H589" s="144"/>
      <c r="J589" s="145"/>
      <c r="K589" s="148"/>
      <c r="L589" s="149"/>
    </row>
    <row r="590" spans="1:12" s="17" customFormat="1" x14ac:dyDescent="0.25">
      <c r="A590" s="229"/>
      <c r="B590" s="55"/>
      <c r="C590" s="55"/>
      <c r="D590" s="55"/>
      <c r="G590" s="202"/>
      <c r="H590" s="144"/>
      <c r="J590" s="145"/>
      <c r="K590" s="148"/>
      <c r="L590" s="149"/>
    </row>
    <row r="591" spans="1:12" s="17" customFormat="1" x14ac:dyDescent="0.25">
      <c r="A591" s="229"/>
      <c r="B591" s="55"/>
      <c r="C591" s="55"/>
      <c r="D591" s="55"/>
      <c r="G591" s="202"/>
      <c r="H591" s="144"/>
      <c r="J591" s="145"/>
      <c r="K591" s="148"/>
      <c r="L591" s="149"/>
    </row>
    <row r="592" spans="1:12" s="17" customFormat="1" x14ac:dyDescent="0.25">
      <c r="A592" s="229"/>
      <c r="B592" s="55"/>
      <c r="C592" s="55"/>
      <c r="D592" s="55"/>
      <c r="G592" s="202"/>
      <c r="H592" s="144"/>
      <c r="J592" s="145"/>
      <c r="K592" s="148"/>
      <c r="L592" s="149"/>
    </row>
    <row r="593" spans="1:12" s="17" customFormat="1" x14ac:dyDescent="0.25">
      <c r="A593" s="229"/>
      <c r="B593" s="55"/>
      <c r="C593" s="55"/>
      <c r="D593" s="55"/>
      <c r="G593" s="202"/>
      <c r="H593" s="144"/>
      <c r="J593" s="145"/>
      <c r="K593" s="148"/>
      <c r="L593" s="149"/>
    </row>
    <row r="594" spans="1:12" s="17" customFormat="1" x14ac:dyDescent="0.25">
      <c r="A594" s="229"/>
      <c r="B594" s="55"/>
      <c r="C594" s="55"/>
      <c r="D594" s="55"/>
      <c r="G594" s="202"/>
      <c r="H594" s="144"/>
      <c r="J594" s="145"/>
      <c r="K594" s="148"/>
      <c r="L594" s="149"/>
    </row>
    <row r="595" spans="1:12" s="17" customFormat="1" x14ac:dyDescent="0.25">
      <c r="A595" s="229"/>
      <c r="B595" s="55"/>
      <c r="C595" s="55"/>
      <c r="D595" s="55"/>
      <c r="G595" s="202"/>
      <c r="H595" s="144"/>
      <c r="J595" s="145"/>
      <c r="K595" s="148"/>
      <c r="L595" s="149"/>
    </row>
    <row r="596" spans="1:12" s="17" customFormat="1" x14ac:dyDescent="0.25">
      <c r="A596" s="229"/>
      <c r="B596" s="55"/>
      <c r="C596" s="55"/>
      <c r="D596" s="55"/>
      <c r="G596" s="202"/>
      <c r="H596" s="144"/>
      <c r="J596" s="145"/>
      <c r="K596" s="148"/>
      <c r="L596" s="149"/>
    </row>
    <row r="597" spans="1:12" s="17" customFormat="1" x14ac:dyDescent="0.25">
      <c r="A597" s="229"/>
      <c r="B597" s="55"/>
      <c r="C597" s="55"/>
      <c r="D597" s="55"/>
      <c r="G597" s="202"/>
      <c r="H597" s="144"/>
      <c r="J597" s="145"/>
      <c r="K597" s="148"/>
      <c r="L597" s="149"/>
    </row>
    <row r="598" spans="1:12" s="17" customFormat="1" x14ac:dyDescent="0.25">
      <c r="A598" s="229"/>
      <c r="B598" s="55"/>
      <c r="C598" s="55"/>
      <c r="D598" s="55"/>
      <c r="G598" s="202"/>
      <c r="H598" s="144"/>
      <c r="J598" s="145"/>
      <c r="K598" s="148"/>
      <c r="L598" s="149"/>
    </row>
    <row r="599" spans="1:12" s="17" customFormat="1" x14ac:dyDescent="0.25">
      <c r="A599" s="229"/>
      <c r="B599" s="55"/>
      <c r="C599" s="55"/>
      <c r="D599" s="55"/>
      <c r="G599" s="202"/>
      <c r="H599" s="144"/>
      <c r="J599" s="145"/>
      <c r="K599" s="148"/>
      <c r="L599" s="149"/>
    </row>
    <row r="600" spans="1:12" s="17" customFormat="1" x14ac:dyDescent="0.25">
      <c r="A600" s="229"/>
      <c r="B600" s="55"/>
      <c r="C600" s="55"/>
      <c r="D600" s="55"/>
      <c r="G600" s="202"/>
      <c r="H600" s="144"/>
      <c r="J600" s="145"/>
      <c r="K600" s="148"/>
      <c r="L600" s="149"/>
    </row>
    <row r="601" spans="1:12" s="17" customFormat="1" x14ac:dyDescent="0.25">
      <c r="A601" s="229"/>
      <c r="B601" s="55"/>
      <c r="C601" s="55"/>
      <c r="D601" s="55"/>
      <c r="G601" s="202"/>
      <c r="H601" s="144"/>
      <c r="J601" s="145"/>
      <c r="K601" s="148"/>
      <c r="L601" s="149"/>
    </row>
    <row r="602" spans="1:12" s="17" customFormat="1" x14ac:dyDescent="0.25">
      <c r="A602" s="229"/>
      <c r="B602" s="55"/>
      <c r="C602" s="55"/>
      <c r="D602" s="55"/>
      <c r="G602" s="202"/>
      <c r="H602" s="144"/>
      <c r="J602" s="145"/>
      <c r="K602" s="148"/>
      <c r="L602" s="149"/>
    </row>
    <row r="603" spans="1:12" s="17" customFormat="1" x14ac:dyDescent="0.25">
      <c r="A603" s="229"/>
      <c r="B603" s="55"/>
      <c r="C603" s="55"/>
      <c r="D603" s="55"/>
      <c r="G603" s="202"/>
      <c r="H603" s="144"/>
      <c r="J603" s="145"/>
      <c r="K603" s="148"/>
      <c r="L603" s="149"/>
    </row>
    <row r="604" spans="1:12" s="17" customFormat="1" x14ac:dyDescent="0.25">
      <c r="A604" s="229"/>
      <c r="B604" s="55"/>
      <c r="C604" s="55"/>
      <c r="D604" s="55"/>
      <c r="G604" s="202"/>
      <c r="H604" s="144"/>
      <c r="J604" s="145"/>
      <c r="K604" s="148"/>
      <c r="L604" s="149"/>
    </row>
    <row r="605" spans="1:12" s="17" customFormat="1" x14ac:dyDescent="0.25">
      <c r="A605" s="229"/>
      <c r="B605" s="55"/>
      <c r="C605" s="55"/>
      <c r="D605" s="55"/>
      <c r="G605" s="202"/>
      <c r="H605" s="144"/>
      <c r="J605" s="145"/>
      <c r="K605" s="148"/>
      <c r="L605" s="149"/>
    </row>
    <row r="606" spans="1:12" s="17" customFormat="1" x14ac:dyDescent="0.25">
      <c r="A606" s="229"/>
      <c r="B606" s="55"/>
      <c r="C606" s="55"/>
      <c r="D606" s="55"/>
      <c r="G606" s="202"/>
      <c r="H606" s="144"/>
      <c r="J606" s="145"/>
      <c r="K606" s="148"/>
      <c r="L606" s="149"/>
    </row>
    <row r="607" spans="1:12" s="17" customFormat="1" x14ac:dyDescent="0.25">
      <c r="A607" s="229"/>
      <c r="B607" s="55"/>
      <c r="C607" s="55"/>
      <c r="D607" s="55"/>
      <c r="G607" s="202"/>
      <c r="H607" s="144"/>
      <c r="J607" s="145"/>
      <c r="K607" s="148"/>
      <c r="L607" s="149"/>
    </row>
    <row r="608" spans="1:12" s="17" customFormat="1" x14ac:dyDescent="0.25">
      <c r="A608" s="229"/>
      <c r="B608" s="55"/>
      <c r="C608" s="55"/>
      <c r="D608" s="55"/>
      <c r="G608" s="202"/>
      <c r="H608" s="144"/>
      <c r="J608" s="145"/>
      <c r="K608" s="148"/>
      <c r="L608" s="149"/>
    </row>
    <row r="609" spans="1:12" s="17" customFormat="1" x14ac:dyDescent="0.25">
      <c r="A609" s="229"/>
      <c r="B609" s="55"/>
      <c r="C609" s="55"/>
      <c r="D609" s="55"/>
      <c r="G609" s="202"/>
      <c r="H609" s="144"/>
      <c r="J609" s="145"/>
      <c r="K609" s="148"/>
      <c r="L609" s="149"/>
    </row>
    <row r="610" spans="1:12" s="17" customFormat="1" x14ac:dyDescent="0.25">
      <c r="A610" s="229"/>
      <c r="B610" s="55"/>
      <c r="C610" s="55"/>
      <c r="D610" s="55"/>
      <c r="G610" s="202"/>
      <c r="H610" s="144"/>
      <c r="J610" s="145"/>
      <c r="K610" s="148"/>
      <c r="L610" s="149"/>
    </row>
    <row r="611" spans="1:12" s="17" customFormat="1" x14ac:dyDescent="0.25">
      <c r="A611" s="229"/>
      <c r="B611" s="55"/>
      <c r="C611" s="55"/>
      <c r="D611" s="55"/>
      <c r="G611" s="202"/>
      <c r="H611" s="144"/>
      <c r="J611" s="145"/>
      <c r="K611" s="148"/>
      <c r="L611" s="149"/>
    </row>
    <row r="612" spans="1:12" s="17" customFormat="1" x14ac:dyDescent="0.25">
      <c r="A612" s="229"/>
      <c r="B612" s="55"/>
      <c r="C612" s="55"/>
      <c r="D612" s="55"/>
      <c r="G612" s="202"/>
      <c r="H612" s="144"/>
      <c r="J612" s="145"/>
      <c r="K612" s="148"/>
      <c r="L612" s="149"/>
    </row>
    <row r="613" spans="1:12" s="17" customFormat="1" x14ac:dyDescent="0.25">
      <c r="A613" s="229"/>
      <c r="B613" s="55"/>
      <c r="C613" s="55"/>
      <c r="D613" s="55"/>
      <c r="G613" s="202"/>
      <c r="H613" s="144"/>
      <c r="J613" s="145"/>
      <c r="K613" s="148"/>
      <c r="L613" s="149"/>
    </row>
    <row r="614" spans="1:12" s="17" customFormat="1" x14ac:dyDescent="0.25">
      <c r="A614" s="229"/>
      <c r="B614" s="55"/>
      <c r="C614" s="55"/>
      <c r="D614" s="55"/>
      <c r="G614" s="202"/>
      <c r="H614" s="144"/>
      <c r="J614" s="145"/>
      <c r="K614" s="148"/>
      <c r="L614" s="149"/>
    </row>
    <row r="615" spans="1:12" s="17" customFormat="1" x14ac:dyDescent="0.25">
      <c r="A615" s="229"/>
      <c r="B615" s="55"/>
      <c r="C615" s="55"/>
      <c r="D615" s="55"/>
      <c r="G615" s="202"/>
      <c r="H615" s="144"/>
      <c r="J615" s="145"/>
      <c r="K615" s="148"/>
      <c r="L615" s="149"/>
    </row>
    <row r="616" spans="1:12" s="17" customFormat="1" x14ac:dyDescent="0.25">
      <c r="A616" s="229"/>
      <c r="B616" s="55"/>
      <c r="C616" s="55"/>
      <c r="D616" s="55"/>
      <c r="G616" s="202"/>
      <c r="H616" s="144"/>
      <c r="J616" s="145"/>
      <c r="K616" s="148"/>
      <c r="L616" s="149"/>
    </row>
    <row r="617" spans="1:12" s="17" customFormat="1" x14ac:dyDescent="0.25">
      <c r="A617" s="229"/>
      <c r="B617" s="55"/>
      <c r="C617" s="55"/>
      <c r="D617" s="55"/>
      <c r="G617" s="202"/>
      <c r="H617" s="144"/>
      <c r="J617" s="145"/>
      <c r="K617" s="148"/>
      <c r="L617" s="149"/>
    </row>
    <row r="618" spans="1:12" s="17" customFormat="1" x14ac:dyDescent="0.25">
      <c r="A618" s="229"/>
      <c r="B618" s="55"/>
      <c r="C618" s="55"/>
      <c r="D618" s="55"/>
      <c r="G618" s="202"/>
      <c r="H618" s="144"/>
      <c r="J618" s="145"/>
      <c r="K618" s="148"/>
      <c r="L618" s="149"/>
    </row>
    <row r="619" spans="1:12" s="17" customFormat="1" x14ac:dyDescent="0.25">
      <c r="A619" s="229"/>
      <c r="B619" s="55"/>
      <c r="C619" s="55"/>
      <c r="D619" s="55"/>
      <c r="G619" s="202"/>
      <c r="H619" s="144"/>
      <c r="J619" s="145"/>
      <c r="K619" s="148"/>
      <c r="L619" s="149"/>
    </row>
    <row r="620" spans="1:12" s="17" customFormat="1" x14ac:dyDescent="0.25">
      <c r="A620" s="229"/>
      <c r="B620" s="55"/>
      <c r="C620" s="55"/>
      <c r="D620" s="55"/>
      <c r="G620" s="202"/>
      <c r="H620" s="144"/>
      <c r="J620" s="145"/>
      <c r="K620" s="148"/>
      <c r="L620" s="149"/>
    </row>
    <row r="621" spans="1:12" s="17" customFormat="1" x14ac:dyDescent="0.25">
      <c r="A621" s="229"/>
      <c r="B621" s="55"/>
      <c r="C621" s="55"/>
      <c r="D621" s="55"/>
      <c r="G621" s="202"/>
      <c r="H621" s="144"/>
      <c r="J621" s="145"/>
      <c r="K621" s="148"/>
      <c r="L621" s="149"/>
    </row>
    <row r="622" spans="1:12" s="17" customFormat="1" x14ac:dyDescent="0.25">
      <c r="A622" s="229"/>
      <c r="B622" s="55"/>
      <c r="C622" s="55"/>
      <c r="D622" s="55"/>
      <c r="G622" s="202"/>
      <c r="H622" s="144"/>
      <c r="J622" s="145"/>
      <c r="K622" s="148"/>
      <c r="L622" s="149"/>
    </row>
    <row r="623" spans="1:12" s="17" customFormat="1" x14ac:dyDescent="0.25">
      <c r="A623" s="229"/>
      <c r="B623" s="55"/>
      <c r="C623" s="55"/>
      <c r="D623" s="55"/>
      <c r="G623" s="202"/>
      <c r="H623" s="144"/>
      <c r="J623" s="145"/>
      <c r="K623" s="148"/>
      <c r="L623" s="149"/>
    </row>
    <row r="624" spans="1:12" s="17" customFormat="1" x14ac:dyDescent="0.25">
      <c r="A624" s="229"/>
      <c r="B624" s="55"/>
      <c r="C624" s="55"/>
      <c r="D624" s="55"/>
      <c r="G624" s="202"/>
      <c r="H624" s="144"/>
      <c r="J624" s="145"/>
      <c r="K624" s="148"/>
      <c r="L624" s="149"/>
    </row>
    <row r="625" spans="1:12" s="17" customFormat="1" x14ac:dyDescent="0.25">
      <c r="A625" s="229"/>
      <c r="B625" s="55"/>
      <c r="C625" s="55"/>
      <c r="D625" s="55"/>
      <c r="G625" s="202"/>
      <c r="H625" s="144"/>
      <c r="J625" s="145"/>
      <c r="K625" s="148"/>
      <c r="L625" s="149"/>
    </row>
    <row r="626" spans="1:12" s="17" customFormat="1" x14ac:dyDescent="0.25">
      <c r="A626" s="229"/>
      <c r="B626" s="55"/>
      <c r="C626" s="55"/>
      <c r="D626" s="55"/>
      <c r="G626" s="202"/>
      <c r="H626" s="144"/>
      <c r="J626" s="145"/>
      <c r="K626" s="148"/>
      <c r="L626" s="149"/>
    </row>
    <row r="627" spans="1:12" s="17" customFormat="1" x14ac:dyDescent="0.25">
      <c r="A627" s="229"/>
      <c r="B627" s="55"/>
      <c r="C627" s="55"/>
      <c r="D627" s="55"/>
      <c r="G627" s="202"/>
      <c r="H627" s="144"/>
      <c r="J627" s="145"/>
      <c r="K627" s="148"/>
      <c r="L627" s="149"/>
    </row>
    <row r="628" spans="1:12" s="17" customFormat="1" x14ac:dyDescent="0.25">
      <c r="A628" s="229"/>
      <c r="B628" s="55"/>
      <c r="C628" s="55"/>
      <c r="D628" s="55"/>
      <c r="G628" s="202"/>
      <c r="H628" s="144"/>
      <c r="J628" s="145"/>
      <c r="K628" s="148"/>
      <c r="L628" s="149"/>
    </row>
    <row r="629" spans="1:12" s="17" customFormat="1" x14ac:dyDescent="0.25">
      <c r="A629" s="229"/>
      <c r="B629" s="55"/>
      <c r="C629" s="55"/>
      <c r="D629" s="55"/>
      <c r="G629" s="202"/>
      <c r="H629" s="144"/>
      <c r="J629" s="145"/>
      <c r="K629" s="148"/>
      <c r="L629" s="149"/>
    </row>
    <row r="630" spans="1:12" s="17" customFormat="1" x14ac:dyDescent="0.25">
      <c r="A630" s="229"/>
      <c r="B630" s="55"/>
      <c r="C630" s="55"/>
      <c r="D630" s="55"/>
      <c r="G630" s="202"/>
      <c r="H630" s="144"/>
      <c r="J630" s="145"/>
      <c r="K630" s="148"/>
      <c r="L630" s="149"/>
    </row>
    <row r="631" spans="1:12" s="17" customFormat="1" x14ac:dyDescent="0.25">
      <c r="A631" s="229"/>
      <c r="B631" s="55"/>
      <c r="C631" s="55"/>
      <c r="D631" s="55"/>
      <c r="G631" s="202"/>
      <c r="H631" s="144"/>
      <c r="J631" s="145"/>
      <c r="K631" s="148"/>
      <c r="L631" s="149"/>
    </row>
    <row r="632" spans="1:12" s="17" customFormat="1" x14ac:dyDescent="0.25">
      <c r="A632" s="229"/>
      <c r="B632" s="55"/>
      <c r="C632" s="55"/>
      <c r="D632" s="55"/>
      <c r="G632" s="202"/>
      <c r="H632" s="144"/>
      <c r="J632" s="145"/>
      <c r="K632" s="148"/>
      <c r="L632" s="149"/>
    </row>
    <row r="633" spans="1:12" s="17" customFormat="1" x14ac:dyDescent="0.25">
      <c r="A633" s="229"/>
      <c r="B633" s="55"/>
      <c r="C633" s="55"/>
      <c r="D633" s="55"/>
      <c r="G633" s="202"/>
      <c r="H633" s="144"/>
      <c r="J633" s="145"/>
      <c r="K633" s="148"/>
      <c r="L633" s="149"/>
    </row>
    <row r="634" spans="1:12" s="17" customFormat="1" x14ac:dyDescent="0.25">
      <c r="A634" s="229"/>
      <c r="B634" s="55"/>
      <c r="C634" s="55"/>
      <c r="D634" s="55"/>
      <c r="G634" s="202"/>
      <c r="H634" s="144"/>
      <c r="J634" s="145"/>
      <c r="K634" s="148"/>
      <c r="L634" s="149"/>
    </row>
    <row r="635" spans="1:12" s="17" customFormat="1" x14ac:dyDescent="0.25">
      <c r="A635" s="229"/>
      <c r="B635" s="55"/>
      <c r="C635" s="55"/>
      <c r="D635" s="55"/>
      <c r="G635" s="202"/>
      <c r="H635" s="144"/>
      <c r="J635" s="145"/>
      <c r="K635" s="148"/>
      <c r="L635" s="149"/>
    </row>
    <row r="636" spans="1:12" s="17" customFormat="1" x14ac:dyDescent="0.25">
      <c r="A636" s="229"/>
      <c r="B636" s="55"/>
      <c r="C636" s="55"/>
      <c r="D636" s="55"/>
      <c r="G636" s="202"/>
      <c r="H636" s="144"/>
      <c r="J636" s="145"/>
      <c r="K636" s="148"/>
      <c r="L636" s="149"/>
    </row>
    <row r="637" spans="1:12" s="17" customFormat="1" x14ac:dyDescent="0.25">
      <c r="A637" s="229"/>
      <c r="B637" s="55"/>
      <c r="C637" s="55"/>
      <c r="D637" s="55"/>
      <c r="G637" s="202"/>
      <c r="H637" s="144"/>
      <c r="J637" s="145"/>
      <c r="K637" s="148"/>
      <c r="L637" s="149"/>
    </row>
    <row r="638" spans="1:12" s="17" customFormat="1" x14ac:dyDescent="0.25">
      <c r="A638" s="229"/>
      <c r="B638" s="55"/>
      <c r="C638" s="55"/>
      <c r="D638" s="55"/>
      <c r="G638" s="202"/>
      <c r="H638" s="144"/>
      <c r="J638" s="145"/>
      <c r="K638" s="148"/>
      <c r="L638" s="149"/>
    </row>
    <row r="639" spans="1:12" s="17" customFormat="1" x14ac:dyDescent="0.25">
      <c r="A639" s="229"/>
      <c r="B639" s="55"/>
      <c r="C639" s="55"/>
      <c r="D639" s="55"/>
      <c r="G639" s="202"/>
      <c r="H639" s="144"/>
      <c r="J639" s="145"/>
      <c r="K639" s="148"/>
      <c r="L639" s="149"/>
    </row>
    <row r="640" spans="1:12" s="17" customFormat="1" x14ac:dyDescent="0.25">
      <c r="A640" s="229"/>
      <c r="B640" s="55"/>
      <c r="C640" s="55"/>
      <c r="D640" s="55"/>
      <c r="G640" s="202"/>
      <c r="H640" s="144"/>
      <c r="J640" s="145"/>
      <c r="K640" s="148"/>
      <c r="L640" s="149"/>
    </row>
    <row r="641" spans="1:12" s="17" customFormat="1" x14ac:dyDescent="0.25">
      <c r="A641" s="229"/>
      <c r="B641" s="55"/>
      <c r="C641" s="55"/>
      <c r="D641" s="55"/>
      <c r="G641" s="202"/>
      <c r="H641" s="144"/>
      <c r="J641" s="145"/>
      <c r="K641" s="148"/>
      <c r="L641" s="149"/>
    </row>
    <row r="642" spans="1:12" s="17" customFormat="1" x14ac:dyDescent="0.25">
      <c r="A642" s="229"/>
      <c r="B642" s="55"/>
      <c r="C642" s="55"/>
      <c r="D642" s="55"/>
      <c r="G642" s="202"/>
      <c r="H642" s="144"/>
      <c r="J642" s="145"/>
      <c r="K642" s="148"/>
      <c r="L642" s="149"/>
    </row>
    <row r="643" spans="1:12" s="17" customFormat="1" x14ac:dyDescent="0.25">
      <c r="A643" s="229"/>
      <c r="B643" s="55"/>
      <c r="C643" s="55"/>
      <c r="D643" s="55"/>
      <c r="G643" s="202"/>
      <c r="H643" s="144"/>
      <c r="J643" s="145"/>
      <c r="K643" s="148"/>
      <c r="L643" s="149"/>
    </row>
    <row r="644" spans="1:12" s="17" customFormat="1" x14ac:dyDescent="0.25">
      <c r="A644" s="229"/>
      <c r="B644" s="55"/>
      <c r="C644" s="55"/>
      <c r="D644" s="55"/>
      <c r="G644" s="202"/>
      <c r="H644" s="144"/>
      <c r="J644" s="145"/>
      <c r="K644" s="148"/>
      <c r="L644" s="149"/>
    </row>
    <row r="645" spans="1:12" s="17" customFormat="1" x14ac:dyDescent="0.25">
      <c r="A645" s="229"/>
      <c r="B645" s="55"/>
      <c r="C645" s="55"/>
      <c r="D645" s="55"/>
      <c r="G645" s="202"/>
      <c r="H645" s="144"/>
      <c r="J645" s="145"/>
      <c r="K645" s="148"/>
      <c r="L645" s="149"/>
    </row>
    <row r="646" spans="1:12" s="17" customFormat="1" x14ac:dyDescent="0.25">
      <c r="A646" s="229"/>
      <c r="B646" s="55"/>
      <c r="C646" s="55"/>
      <c r="D646" s="55"/>
      <c r="G646" s="202"/>
      <c r="H646" s="144"/>
      <c r="J646" s="145"/>
      <c r="K646" s="148"/>
      <c r="L646" s="149"/>
    </row>
    <row r="647" spans="1:12" s="17" customFormat="1" x14ac:dyDescent="0.25">
      <c r="A647" s="229"/>
      <c r="B647" s="55"/>
      <c r="C647" s="55"/>
      <c r="D647" s="55"/>
      <c r="G647" s="202"/>
      <c r="H647" s="144"/>
      <c r="J647" s="145"/>
      <c r="K647" s="148"/>
      <c r="L647" s="149"/>
    </row>
    <row r="648" spans="1:12" s="17" customFormat="1" x14ac:dyDescent="0.25">
      <c r="A648" s="229"/>
      <c r="B648" s="55"/>
      <c r="C648" s="55"/>
      <c r="D648" s="55"/>
      <c r="G648" s="202"/>
      <c r="H648" s="144"/>
      <c r="J648" s="145"/>
      <c r="K648" s="148"/>
      <c r="L648" s="149"/>
    </row>
    <row r="649" spans="1:12" s="17" customFormat="1" x14ac:dyDescent="0.25">
      <c r="A649" s="229"/>
      <c r="B649" s="55"/>
      <c r="C649" s="55"/>
      <c r="D649" s="55"/>
      <c r="G649" s="202"/>
      <c r="H649" s="144"/>
      <c r="J649" s="145"/>
      <c r="K649" s="148"/>
      <c r="L649" s="149"/>
    </row>
    <row r="650" spans="1:12" s="17" customFormat="1" x14ac:dyDescent="0.25">
      <c r="A650" s="229"/>
      <c r="B650" s="55"/>
      <c r="C650" s="55"/>
      <c r="D650" s="55"/>
      <c r="G650" s="202"/>
      <c r="H650" s="144"/>
      <c r="J650" s="145"/>
      <c r="K650" s="148"/>
      <c r="L650" s="149"/>
    </row>
    <row r="651" spans="1:12" s="17" customFormat="1" x14ac:dyDescent="0.25">
      <c r="A651" s="229"/>
      <c r="B651" s="55"/>
      <c r="C651" s="55"/>
      <c r="D651" s="55"/>
      <c r="G651" s="202"/>
      <c r="H651" s="144"/>
      <c r="J651" s="145"/>
      <c r="K651" s="148"/>
      <c r="L651" s="149"/>
    </row>
    <row r="652" spans="1:12" s="17" customFormat="1" x14ac:dyDescent="0.25">
      <c r="A652" s="229"/>
      <c r="B652" s="55"/>
      <c r="C652" s="55"/>
      <c r="D652" s="55"/>
      <c r="G652" s="202"/>
      <c r="H652" s="144"/>
      <c r="J652" s="145"/>
      <c r="K652" s="148"/>
      <c r="L652" s="149"/>
    </row>
    <row r="653" spans="1:12" s="17" customFormat="1" x14ac:dyDescent="0.25">
      <c r="A653" s="229"/>
      <c r="B653" s="55"/>
      <c r="C653" s="55"/>
      <c r="D653" s="55"/>
      <c r="G653" s="202"/>
      <c r="H653" s="144"/>
      <c r="J653" s="145"/>
      <c r="K653" s="148"/>
      <c r="L653" s="149"/>
    </row>
    <row r="654" spans="1:12" s="17" customFormat="1" x14ac:dyDescent="0.25">
      <c r="A654" s="229"/>
      <c r="B654" s="55"/>
      <c r="C654" s="55"/>
      <c r="D654" s="55"/>
      <c r="G654" s="202"/>
      <c r="H654" s="144"/>
      <c r="J654" s="145"/>
      <c r="K654" s="148"/>
      <c r="L654" s="149"/>
    </row>
    <row r="655" spans="1:12" s="17" customFormat="1" x14ac:dyDescent="0.25">
      <c r="A655" s="229"/>
      <c r="B655" s="55"/>
      <c r="C655" s="55"/>
      <c r="D655" s="55"/>
      <c r="G655" s="202"/>
      <c r="H655" s="144"/>
      <c r="J655" s="145"/>
      <c r="K655" s="148"/>
      <c r="L655" s="149"/>
    </row>
    <row r="656" spans="1:12" s="17" customFormat="1" x14ac:dyDescent="0.25">
      <c r="A656" s="229"/>
      <c r="B656" s="55"/>
      <c r="C656" s="55"/>
      <c r="D656" s="55"/>
      <c r="G656" s="202"/>
      <c r="H656" s="144"/>
      <c r="J656" s="145"/>
      <c r="K656" s="148"/>
      <c r="L656" s="149"/>
    </row>
    <row r="657" spans="1:12" s="17" customFormat="1" x14ac:dyDescent="0.25">
      <c r="A657" s="229"/>
      <c r="B657" s="55"/>
      <c r="C657" s="55"/>
      <c r="D657" s="55"/>
      <c r="G657" s="202"/>
      <c r="H657" s="144"/>
      <c r="J657" s="145"/>
      <c r="K657" s="148"/>
      <c r="L657" s="149"/>
    </row>
    <row r="658" spans="1:12" s="17" customFormat="1" x14ac:dyDescent="0.25">
      <c r="A658" s="229"/>
      <c r="B658" s="55"/>
      <c r="C658" s="55"/>
      <c r="D658" s="55"/>
      <c r="G658" s="202"/>
      <c r="H658" s="144"/>
      <c r="J658" s="145"/>
      <c r="K658" s="148"/>
      <c r="L658" s="149"/>
    </row>
    <row r="659" spans="1:12" s="17" customFormat="1" x14ac:dyDescent="0.25">
      <c r="A659" s="229"/>
      <c r="B659" s="55"/>
      <c r="C659" s="55"/>
      <c r="D659" s="55"/>
      <c r="G659" s="202"/>
      <c r="H659" s="144"/>
      <c r="J659" s="145"/>
      <c r="K659" s="148"/>
      <c r="L659" s="149"/>
    </row>
    <row r="660" spans="1:12" s="17" customFormat="1" x14ac:dyDescent="0.25">
      <c r="A660" s="229"/>
      <c r="B660" s="55"/>
      <c r="C660" s="55"/>
      <c r="D660" s="55"/>
      <c r="G660" s="202"/>
      <c r="H660" s="144"/>
      <c r="J660" s="145"/>
      <c r="K660" s="148"/>
      <c r="L660" s="149"/>
    </row>
    <row r="661" spans="1:12" s="17" customFormat="1" x14ac:dyDescent="0.25">
      <c r="A661" s="229"/>
      <c r="B661" s="55"/>
      <c r="C661" s="55"/>
      <c r="D661" s="55"/>
      <c r="G661" s="202"/>
      <c r="H661" s="144"/>
      <c r="J661" s="145"/>
      <c r="K661" s="148"/>
      <c r="L661" s="149"/>
    </row>
    <row r="662" spans="1:12" s="17" customFormat="1" x14ac:dyDescent="0.25">
      <c r="A662" s="229"/>
      <c r="B662" s="55"/>
      <c r="C662" s="55"/>
      <c r="D662" s="55"/>
      <c r="G662" s="202"/>
      <c r="H662" s="144"/>
      <c r="J662" s="145"/>
      <c r="K662" s="148"/>
      <c r="L662" s="149"/>
    </row>
    <row r="663" spans="1:12" s="17" customFormat="1" x14ac:dyDescent="0.25">
      <c r="A663" s="229"/>
      <c r="B663" s="55"/>
      <c r="C663" s="55"/>
      <c r="D663" s="55"/>
      <c r="G663" s="202"/>
      <c r="H663" s="144"/>
      <c r="J663" s="145"/>
      <c r="K663" s="148"/>
      <c r="L663" s="149"/>
    </row>
    <row r="664" spans="1:12" s="17" customFormat="1" x14ac:dyDescent="0.25">
      <c r="A664" s="229"/>
      <c r="B664" s="55"/>
      <c r="C664" s="55"/>
      <c r="D664" s="55"/>
      <c r="G664" s="202"/>
      <c r="H664" s="144"/>
      <c r="J664" s="145"/>
      <c r="K664" s="148"/>
      <c r="L664" s="149"/>
    </row>
    <row r="665" spans="1:12" s="17" customFormat="1" x14ac:dyDescent="0.25">
      <c r="A665" s="229"/>
      <c r="B665" s="55"/>
      <c r="C665" s="55"/>
      <c r="D665" s="55"/>
      <c r="G665" s="202"/>
      <c r="H665" s="144"/>
      <c r="J665" s="145"/>
      <c r="K665" s="148"/>
      <c r="L665" s="149"/>
    </row>
    <row r="666" spans="1:12" s="17" customFormat="1" x14ac:dyDescent="0.25">
      <c r="A666" s="229"/>
      <c r="B666" s="55"/>
      <c r="C666" s="55"/>
      <c r="D666" s="55"/>
      <c r="G666" s="202"/>
      <c r="H666" s="144"/>
      <c r="J666" s="145"/>
      <c r="K666" s="148"/>
      <c r="L666" s="149"/>
    </row>
    <row r="667" spans="1:12" s="17" customFormat="1" x14ac:dyDescent="0.25">
      <c r="A667" s="229"/>
      <c r="B667" s="55"/>
      <c r="C667" s="55"/>
      <c r="D667" s="55"/>
      <c r="G667" s="202"/>
      <c r="H667" s="144"/>
      <c r="J667" s="145"/>
      <c r="K667" s="148"/>
      <c r="L667" s="149"/>
    </row>
    <row r="668" spans="1:12" s="17" customFormat="1" x14ac:dyDescent="0.25">
      <c r="A668" s="229"/>
      <c r="B668" s="55"/>
      <c r="C668" s="55"/>
      <c r="D668" s="55"/>
      <c r="G668" s="202"/>
      <c r="H668" s="144"/>
      <c r="J668" s="145"/>
      <c r="K668" s="148"/>
      <c r="L668" s="149"/>
    </row>
    <row r="669" spans="1:12" s="17" customFormat="1" x14ac:dyDescent="0.25">
      <c r="A669" s="229"/>
      <c r="B669" s="55"/>
      <c r="C669" s="55"/>
      <c r="D669" s="55"/>
      <c r="G669" s="202"/>
      <c r="H669" s="144"/>
      <c r="J669" s="145"/>
      <c r="K669" s="148"/>
      <c r="L669" s="149"/>
    </row>
    <row r="670" spans="1:12" s="17" customFormat="1" x14ac:dyDescent="0.25">
      <c r="A670" s="229"/>
      <c r="B670" s="55"/>
      <c r="C670" s="55"/>
      <c r="D670" s="55"/>
      <c r="G670" s="202"/>
      <c r="H670" s="144"/>
      <c r="J670" s="145"/>
      <c r="K670" s="148"/>
      <c r="L670" s="149"/>
    </row>
    <row r="671" spans="1:12" s="17" customFormat="1" x14ac:dyDescent="0.25">
      <c r="A671" s="229"/>
      <c r="B671" s="55"/>
      <c r="C671" s="55"/>
      <c r="D671" s="55"/>
      <c r="G671" s="202"/>
      <c r="H671" s="144"/>
      <c r="J671" s="145"/>
      <c r="K671" s="148"/>
      <c r="L671" s="149"/>
    </row>
    <row r="672" spans="1:12" s="17" customFormat="1" x14ac:dyDescent="0.25">
      <c r="A672" s="229"/>
      <c r="B672" s="55"/>
      <c r="C672" s="55"/>
      <c r="D672" s="55"/>
      <c r="G672" s="202"/>
      <c r="H672" s="144"/>
      <c r="J672" s="145"/>
      <c r="K672" s="148"/>
      <c r="L672" s="149"/>
    </row>
    <row r="673" spans="1:12" s="17" customFormat="1" x14ac:dyDescent="0.25">
      <c r="A673" s="229"/>
      <c r="B673" s="55"/>
      <c r="C673" s="55"/>
      <c r="D673" s="55"/>
      <c r="G673" s="202"/>
      <c r="H673" s="144"/>
      <c r="J673" s="145"/>
      <c r="K673" s="148"/>
      <c r="L673" s="149"/>
    </row>
    <row r="674" spans="1:12" s="17" customFormat="1" x14ac:dyDescent="0.25">
      <c r="A674" s="229"/>
      <c r="B674" s="55"/>
      <c r="C674" s="55"/>
      <c r="D674" s="55"/>
      <c r="G674" s="202"/>
      <c r="H674" s="144"/>
      <c r="J674" s="145"/>
      <c r="K674" s="148"/>
      <c r="L674" s="149"/>
    </row>
    <row r="675" spans="1:12" s="17" customFormat="1" x14ac:dyDescent="0.25">
      <c r="A675" s="229"/>
      <c r="B675" s="55"/>
      <c r="C675" s="55"/>
      <c r="D675" s="55"/>
      <c r="G675" s="202"/>
      <c r="H675" s="144"/>
      <c r="J675" s="145"/>
      <c r="K675" s="148"/>
      <c r="L675" s="149"/>
    </row>
    <row r="676" spans="1:12" s="17" customFormat="1" x14ac:dyDescent="0.25">
      <c r="A676" s="229"/>
      <c r="B676" s="55"/>
      <c r="C676" s="55"/>
      <c r="D676" s="55"/>
      <c r="G676" s="202"/>
      <c r="H676" s="144"/>
      <c r="J676" s="145"/>
      <c r="K676" s="148"/>
      <c r="L676" s="149"/>
    </row>
    <row r="677" spans="1:12" s="17" customFormat="1" x14ac:dyDescent="0.25">
      <c r="A677" s="229"/>
      <c r="B677" s="55"/>
      <c r="C677" s="55"/>
      <c r="D677" s="55"/>
      <c r="G677" s="202"/>
      <c r="H677" s="144"/>
      <c r="J677" s="145"/>
      <c r="K677" s="148"/>
      <c r="L677" s="149"/>
    </row>
    <row r="678" spans="1:12" s="17" customFormat="1" x14ac:dyDescent="0.25">
      <c r="A678" s="229"/>
      <c r="B678" s="55"/>
      <c r="C678" s="55"/>
      <c r="D678" s="55"/>
      <c r="G678" s="202"/>
      <c r="H678" s="144"/>
      <c r="J678" s="145"/>
      <c r="K678" s="148"/>
      <c r="L678" s="149"/>
    </row>
    <row r="679" spans="1:12" s="17" customFormat="1" x14ac:dyDescent="0.25">
      <c r="A679" s="229"/>
      <c r="B679" s="55"/>
      <c r="C679" s="55"/>
      <c r="D679" s="55"/>
      <c r="G679" s="202"/>
      <c r="H679" s="144"/>
      <c r="J679" s="145"/>
      <c r="K679" s="148"/>
      <c r="L679" s="149"/>
    </row>
    <row r="680" spans="1:12" s="17" customFormat="1" x14ac:dyDescent="0.25">
      <c r="A680" s="229"/>
      <c r="B680" s="55"/>
      <c r="C680" s="55"/>
      <c r="D680" s="55"/>
      <c r="G680" s="202"/>
      <c r="H680" s="144"/>
      <c r="J680" s="145"/>
      <c r="K680" s="148"/>
      <c r="L680" s="149"/>
    </row>
    <row r="681" spans="1:12" s="17" customFormat="1" x14ac:dyDescent="0.25">
      <c r="A681" s="229"/>
      <c r="B681" s="55"/>
      <c r="C681" s="55"/>
      <c r="D681" s="55"/>
      <c r="G681" s="202"/>
      <c r="H681" s="144"/>
      <c r="J681" s="145"/>
      <c r="K681" s="148"/>
      <c r="L681" s="149"/>
    </row>
    <row r="682" spans="1:12" s="17" customFormat="1" x14ac:dyDescent="0.25">
      <c r="A682" s="229"/>
      <c r="B682" s="55"/>
      <c r="C682" s="55"/>
      <c r="D682" s="55"/>
      <c r="G682" s="202"/>
      <c r="H682" s="144"/>
      <c r="J682" s="145"/>
      <c r="K682" s="148"/>
      <c r="L682" s="149"/>
    </row>
    <row r="683" spans="1:12" s="17" customFormat="1" x14ac:dyDescent="0.25">
      <c r="A683" s="229"/>
      <c r="B683" s="55"/>
      <c r="C683" s="55"/>
      <c r="D683" s="55"/>
      <c r="G683" s="202"/>
      <c r="H683" s="144"/>
      <c r="J683" s="145"/>
      <c r="K683" s="148"/>
      <c r="L683" s="149"/>
    </row>
    <row r="684" spans="1:12" s="17" customFormat="1" x14ac:dyDescent="0.25">
      <c r="A684" s="229"/>
      <c r="B684" s="55"/>
      <c r="C684" s="55"/>
      <c r="D684" s="55"/>
      <c r="G684" s="202"/>
      <c r="H684" s="144"/>
      <c r="J684" s="145"/>
      <c r="K684" s="148"/>
      <c r="L684" s="149"/>
    </row>
    <row r="685" spans="1:12" s="17" customFormat="1" x14ac:dyDescent="0.25">
      <c r="A685" s="229"/>
      <c r="B685" s="55"/>
      <c r="C685" s="55"/>
      <c r="D685" s="55"/>
      <c r="G685" s="202"/>
      <c r="H685" s="144"/>
      <c r="J685" s="145"/>
      <c r="K685" s="148"/>
      <c r="L685" s="149"/>
    </row>
    <row r="686" spans="1:12" s="17" customFormat="1" x14ac:dyDescent="0.25">
      <c r="A686" s="229"/>
      <c r="B686" s="55"/>
      <c r="C686" s="55"/>
      <c r="D686" s="55"/>
      <c r="G686" s="202"/>
      <c r="H686" s="144"/>
      <c r="J686" s="145"/>
      <c r="K686" s="148"/>
      <c r="L686" s="149"/>
    </row>
    <row r="687" spans="1:12" s="17" customFormat="1" x14ac:dyDescent="0.25">
      <c r="A687" s="229"/>
      <c r="B687" s="55"/>
      <c r="C687" s="55"/>
      <c r="D687" s="55"/>
      <c r="G687" s="202"/>
      <c r="H687" s="144"/>
      <c r="J687" s="145"/>
      <c r="K687" s="148"/>
      <c r="L687" s="149"/>
    </row>
    <row r="688" spans="1:12" s="17" customFormat="1" x14ac:dyDescent="0.25">
      <c r="A688" s="229"/>
      <c r="B688" s="55"/>
      <c r="C688" s="55"/>
      <c r="D688" s="55"/>
      <c r="G688" s="202"/>
      <c r="H688" s="144"/>
      <c r="J688" s="145"/>
      <c r="K688" s="148"/>
      <c r="L688" s="149"/>
    </row>
    <row r="689" spans="1:12" s="17" customFormat="1" x14ac:dyDescent="0.25">
      <c r="A689" s="229"/>
      <c r="B689" s="55"/>
      <c r="C689" s="55"/>
      <c r="D689" s="55"/>
      <c r="G689" s="202"/>
      <c r="H689" s="144"/>
      <c r="J689" s="145"/>
      <c r="K689" s="148"/>
      <c r="L689" s="149"/>
    </row>
    <row r="690" spans="1:12" s="17" customFormat="1" x14ac:dyDescent="0.25">
      <c r="A690" s="229"/>
      <c r="B690" s="55"/>
      <c r="C690" s="55"/>
      <c r="D690" s="55"/>
      <c r="G690" s="202"/>
      <c r="H690" s="144"/>
      <c r="J690" s="145"/>
      <c r="K690" s="148"/>
      <c r="L690" s="149"/>
    </row>
    <row r="691" spans="1:12" s="17" customFormat="1" x14ac:dyDescent="0.25">
      <c r="A691" s="229"/>
      <c r="B691" s="55"/>
      <c r="C691" s="55"/>
      <c r="D691" s="55"/>
      <c r="G691" s="202"/>
      <c r="H691" s="144"/>
      <c r="J691" s="145"/>
      <c r="K691" s="148"/>
      <c r="L691" s="149"/>
    </row>
    <row r="692" spans="1:12" s="17" customFormat="1" x14ac:dyDescent="0.25">
      <c r="A692" s="229"/>
      <c r="B692" s="55"/>
      <c r="C692" s="55"/>
      <c r="D692" s="55"/>
      <c r="G692" s="202"/>
      <c r="H692" s="144"/>
      <c r="J692" s="145"/>
      <c r="K692" s="148"/>
      <c r="L692" s="149"/>
    </row>
    <row r="693" spans="1:12" s="17" customFormat="1" x14ac:dyDescent="0.25">
      <c r="A693" s="229"/>
      <c r="B693" s="55"/>
      <c r="C693" s="55"/>
      <c r="D693" s="55"/>
      <c r="G693" s="202"/>
      <c r="H693" s="144"/>
      <c r="J693" s="145"/>
      <c r="K693" s="148"/>
      <c r="L693" s="149"/>
    </row>
    <row r="694" spans="1:12" s="17" customFormat="1" x14ac:dyDescent="0.25">
      <c r="A694" s="229"/>
      <c r="B694" s="55"/>
      <c r="C694" s="55"/>
      <c r="D694" s="55"/>
      <c r="G694" s="202"/>
      <c r="H694" s="144"/>
      <c r="J694" s="145"/>
      <c r="K694" s="148"/>
      <c r="L694" s="149"/>
    </row>
    <row r="695" spans="1:12" s="17" customFormat="1" x14ac:dyDescent="0.25">
      <c r="A695" s="229"/>
      <c r="B695" s="55"/>
      <c r="C695" s="55"/>
      <c r="D695" s="55"/>
      <c r="G695" s="202"/>
      <c r="H695" s="144"/>
      <c r="J695" s="145"/>
      <c r="K695" s="148"/>
      <c r="L695" s="149"/>
    </row>
    <row r="696" spans="1:12" s="17" customFormat="1" x14ac:dyDescent="0.25">
      <c r="A696" s="229"/>
      <c r="B696" s="55"/>
      <c r="C696" s="55"/>
      <c r="D696" s="55"/>
      <c r="G696" s="202"/>
      <c r="H696" s="144"/>
      <c r="J696" s="145"/>
      <c r="K696" s="148"/>
      <c r="L696" s="149"/>
    </row>
    <row r="697" spans="1:12" s="17" customFormat="1" x14ac:dyDescent="0.25">
      <c r="A697" s="229"/>
      <c r="B697" s="55"/>
      <c r="C697" s="55"/>
      <c r="D697" s="55"/>
      <c r="G697" s="202"/>
      <c r="H697" s="144"/>
      <c r="J697" s="145"/>
      <c r="K697" s="148"/>
      <c r="L697" s="149"/>
    </row>
    <row r="698" spans="1:12" s="17" customFormat="1" x14ac:dyDescent="0.25">
      <c r="A698" s="229"/>
      <c r="B698" s="55"/>
      <c r="C698" s="55"/>
      <c r="D698" s="55"/>
      <c r="G698" s="202"/>
      <c r="H698" s="144"/>
      <c r="J698" s="145"/>
      <c r="K698" s="148"/>
      <c r="L698" s="149"/>
    </row>
    <row r="699" spans="1:12" s="17" customFormat="1" x14ac:dyDescent="0.25">
      <c r="A699" s="229"/>
      <c r="B699" s="55"/>
      <c r="C699" s="55"/>
      <c r="D699" s="55"/>
      <c r="G699" s="202"/>
      <c r="H699" s="144"/>
      <c r="J699" s="145"/>
      <c r="K699" s="148"/>
      <c r="L699" s="149"/>
    </row>
    <row r="700" spans="1:12" s="17" customFormat="1" x14ac:dyDescent="0.25">
      <c r="A700" s="229"/>
      <c r="B700" s="55"/>
      <c r="C700" s="55"/>
      <c r="D700" s="55"/>
      <c r="G700" s="202"/>
      <c r="H700" s="144"/>
      <c r="J700" s="145"/>
      <c r="K700" s="148"/>
      <c r="L700" s="149"/>
    </row>
    <row r="701" spans="1:12" s="17" customFormat="1" x14ac:dyDescent="0.25">
      <c r="A701" s="229"/>
      <c r="B701" s="55"/>
      <c r="C701" s="55"/>
      <c r="D701" s="55"/>
      <c r="G701" s="202"/>
      <c r="H701" s="144"/>
      <c r="J701" s="145"/>
      <c r="K701" s="148"/>
      <c r="L701" s="149"/>
    </row>
    <row r="702" spans="1:12" s="17" customFormat="1" x14ac:dyDescent="0.25">
      <c r="A702" s="229"/>
      <c r="B702" s="55"/>
      <c r="C702" s="55"/>
      <c r="D702" s="55"/>
      <c r="G702" s="202"/>
      <c r="H702" s="144"/>
      <c r="J702" s="145"/>
      <c r="K702" s="148"/>
      <c r="L702" s="149"/>
    </row>
    <row r="703" spans="1:12" s="17" customFormat="1" x14ac:dyDescent="0.25">
      <c r="A703" s="229"/>
      <c r="B703" s="55"/>
      <c r="C703" s="55"/>
      <c r="D703" s="55"/>
      <c r="G703" s="202"/>
      <c r="H703" s="144"/>
      <c r="J703" s="145"/>
      <c r="K703" s="148"/>
      <c r="L703" s="149"/>
    </row>
    <row r="704" spans="1:12" s="17" customFormat="1" x14ac:dyDescent="0.25">
      <c r="A704" s="229"/>
      <c r="B704" s="55"/>
      <c r="C704" s="55"/>
      <c r="D704" s="55"/>
      <c r="G704" s="202"/>
      <c r="H704" s="144"/>
      <c r="J704" s="145"/>
      <c r="K704" s="148"/>
      <c r="L704" s="149"/>
    </row>
    <row r="705" spans="1:12" s="17" customFormat="1" x14ac:dyDescent="0.25">
      <c r="A705" s="229"/>
      <c r="B705" s="55"/>
      <c r="C705" s="55"/>
      <c r="D705" s="55"/>
      <c r="G705" s="202"/>
      <c r="H705" s="144"/>
      <c r="J705" s="145"/>
      <c r="K705" s="148"/>
      <c r="L705" s="149"/>
    </row>
    <row r="706" spans="1:12" s="17" customFormat="1" x14ac:dyDescent="0.25">
      <c r="A706" s="229"/>
      <c r="B706" s="55"/>
      <c r="C706" s="55"/>
      <c r="D706" s="55"/>
      <c r="G706" s="202"/>
      <c r="H706" s="144"/>
      <c r="J706" s="145"/>
      <c r="K706" s="148"/>
      <c r="L706" s="149"/>
    </row>
    <row r="707" spans="1:12" s="17" customFormat="1" x14ac:dyDescent="0.25">
      <c r="A707" s="229"/>
      <c r="B707" s="55"/>
      <c r="C707" s="55"/>
      <c r="D707" s="55"/>
      <c r="G707" s="202"/>
      <c r="H707" s="144"/>
      <c r="J707" s="145"/>
      <c r="K707" s="148"/>
      <c r="L707" s="149"/>
    </row>
    <row r="708" spans="1:12" s="17" customFormat="1" x14ac:dyDescent="0.25">
      <c r="A708" s="229"/>
      <c r="B708" s="55"/>
      <c r="C708" s="55"/>
      <c r="D708" s="55"/>
      <c r="G708" s="202"/>
      <c r="H708" s="144"/>
      <c r="J708" s="145"/>
      <c r="K708" s="148"/>
      <c r="L708" s="149"/>
    </row>
    <row r="709" spans="1:12" s="17" customFormat="1" x14ac:dyDescent="0.25">
      <c r="A709" s="229"/>
      <c r="B709" s="55"/>
      <c r="C709" s="55"/>
      <c r="D709" s="55"/>
      <c r="G709" s="202"/>
      <c r="H709" s="144"/>
      <c r="J709" s="145"/>
      <c r="K709" s="148"/>
      <c r="L709" s="149"/>
    </row>
    <row r="710" spans="1:12" s="17" customFormat="1" x14ac:dyDescent="0.25">
      <c r="A710" s="229"/>
      <c r="B710" s="55"/>
      <c r="C710" s="55"/>
      <c r="D710" s="55"/>
      <c r="G710" s="202"/>
      <c r="H710" s="144"/>
      <c r="J710" s="145"/>
      <c r="K710" s="148"/>
      <c r="L710" s="149"/>
    </row>
    <row r="711" spans="1:12" s="17" customFormat="1" x14ac:dyDescent="0.25">
      <c r="A711" s="229"/>
      <c r="B711" s="55"/>
      <c r="C711" s="55"/>
      <c r="D711" s="55"/>
      <c r="G711" s="202"/>
      <c r="H711" s="144"/>
      <c r="J711" s="145"/>
      <c r="K711" s="148"/>
      <c r="L711" s="149"/>
    </row>
    <row r="712" spans="1:12" s="17" customFormat="1" x14ac:dyDescent="0.25">
      <c r="A712" s="229"/>
      <c r="B712" s="55"/>
      <c r="C712" s="55"/>
      <c r="D712" s="55"/>
      <c r="G712" s="202"/>
      <c r="H712" s="144"/>
      <c r="J712" s="145"/>
      <c r="K712" s="148"/>
      <c r="L712" s="149"/>
    </row>
    <row r="713" spans="1:12" s="17" customFormat="1" x14ac:dyDescent="0.25">
      <c r="A713" s="229"/>
      <c r="B713" s="55"/>
      <c r="C713" s="55"/>
      <c r="D713" s="55"/>
      <c r="G713" s="202"/>
      <c r="H713" s="144"/>
      <c r="J713" s="145"/>
      <c r="K713" s="148"/>
      <c r="L713" s="149"/>
    </row>
    <row r="714" spans="1:12" s="17" customFormat="1" x14ac:dyDescent="0.25">
      <c r="A714" s="229"/>
      <c r="B714" s="55"/>
      <c r="C714" s="55"/>
      <c r="D714" s="55"/>
      <c r="G714" s="202"/>
      <c r="H714" s="144"/>
      <c r="J714" s="145"/>
      <c r="K714" s="148"/>
      <c r="L714" s="149"/>
    </row>
    <row r="715" spans="1:12" s="17" customFormat="1" x14ac:dyDescent="0.25">
      <c r="A715" s="229"/>
      <c r="B715" s="55"/>
      <c r="C715" s="55"/>
      <c r="D715" s="55"/>
      <c r="G715" s="202"/>
      <c r="H715" s="144"/>
      <c r="J715" s="145"/>
      <c r="K715" s="148"/>
      <c r="L715" s="149"/>
    </row>
    <row r="716" spans="1:12" s="17" customFormat="1" x14ac:dyDescent="0.25">
      <c r="A716" s="229"/>
      <c r="B716" s="55"/>
      <c r="C716" s="55"/>
      <c r="D716" s="55"/>
      <c r="G716" s="202"/>
      <c r="H716" s="144"/>
      <c r="J716" s="145"/>
      <c r="K716" s="148"/>
      <c r="L716" s="149"/>
    </row>
    <row r="717" spans="1:12" s="17" customFormat="1" x14ac:dyDescent="0.25">
      <c r="A717" s="229"/>
      <c r="B717" s="55"/>
      <c r="C717" s="55"/>
      <c r="D717" s="55"/>
      <c r="G717" s="202"/>
      <c r="H717" s="144"/>
      <c r="J717" s="145"/>
      <c r="K717" s="148"/>
      <c r="L717" s="149"/>
    </row>
    <row r="718" spans="1:12" s="17" customFormat="1" x14ac:dyDescent="0.25">
      <c r="A718" s="229"/>
      <c r="B718" s="55"/>
      <c r="C718" s="55"/>
      <c r="D718" s="55"/>
      <c r="G718" s="202"/>
      <c r="H718" s="144"/>
      <c r="J718" s="145"/>
      <c r="K718" s="148"/>
      <c r="L718" s="149"/>
    </row>
    <row r="719" spans="1:12" s="17" customFormat="1" x14ac:dyDescent="0.25">
      <c r="A719" s="229"/>
      <c r="B719" s="55"/>
      <c r="C719" s="55"/>
      <c r="D719" s="55"/>
      <c r="G719" s="202"/>
      <c r="H719" s="144"/>
      <c r="J719" s="145"/>
      <c r="K719" s="148"/>
      <c r="L719" s="149"/>
    </row>
    <row r="720" spans="1:12" s="17" customFormat="1" x14ac:dyDescent="0.25">
      <c r="A720" s="229"/>
      <c r="B720" s="55"/>
      <c r="C720" s="55"/>
      <c r="D720" s="55"/>
      <c r="G720" s="202"/>
      <c r="H720" s="144"/>
      <c r="J720" s="145"/>
      <c r="K720" s="148"/>
      <c r="L720" s="149"/>
    </row>
    <row r="721" spans="1:12" s="17" customFormat="1" x14ac:dyDescent="0.25">
      <c r="A721" s="229"/>
      <c r="B721" s="55"/>
      <c r="C721" s="55"/>
      <c r="D721" s="55"/>
      <c r="G721" s="202"/>
      <c r="H721" s="144"/>
      <c r="J721" s="145"/>
      <c r="K721" s="148"/>
      <c r="L721" s="149"/>
    </row>
    <row r="722" spans="1:12" s="17" customFormat="1" x14ac:dyDescent="0.25">
      <c r="A722" s="229"/>
      <c r="B722" s="55"/>
      <c r="C722" s="55"/>
      <c r="D722" s="55"/>
      <c r="G722" s="202"/>
      <c r="H722" s="144"/>
      <c r="J722" s="145"/>
      <c r="K722" s="148"/>
      <c r="L722" s="149"/>
    </row>
    <row r="723" spans="1:12" s="17" customFormat="1" x14ac:dyDescent="0.25">
      <c r="A723" s="229"/>
      <c r="B723" s="55"/>
      <c r="C723" s="55"/>
      <c r="D723" s="55"/>
      <c r="G723" s="202"/>
      <c r="H723" s="144"/>
      <c r="J723" s="145"/>
      <c r="K723" s="148"/>
      <c r="L723" s="149"/>
    </row>
    <row r="724" spans="1:12" s="17" customFormat="1" x14ac:dyDescent="0.25">
      <c r="A724" s="229"/>
      <c r="B724" s="55"/>
      <c r="C724" s="55"/>
      <c r="D724" s="55"/>
      <c r="G724" s="202"/>
      <c r="H724" s="144"/>
      <c r="J724" s="145"/>
      <c r="K724" s="148"/>
      <c r="L724" s="149"/>
    </row>
    <row r="725" spans="1:12" s="17" customFormat="1" x14ac:dyDescent="0.25">
      <c r="A725" s="229"/>
      <c r="B725" s="55"/>
      <c r="C725" s="55"/>
      <c r="D725" s="55"/>
      <c r="G725" s="202"/>
      <c r="H725" s="144"/>
      <c r="J725" s="145"/>
      <c r="K725" s="148"/>
      <c r="L725" s="149"/>
    </row>
    <row r="726" spans="1:12" s="17" customFormat="1" x14ac:dyDescent="0.25">
      <c r="A726" s="229"/>
      <c r="B726" s="55"/>
      <c r="C726" s="55"/>
      <c r="D726" s="55"/>
      <c r="G726" s="202"/>
      <c r="H726" s="144"/>
      <c r="J726" s="145"/>
      <c r="K726" s="148"/>
      <c r="L726" s="149"/>
    </row>
    <row r="727" spans="1:12" s="17" customFormat="1" x14ac:dyDescent="0.25">
      <c r="A727" s="229"/>
      <c r="B727" s="55"/>
      <c r="C727" s="55"/>
      <c r="D727" s="55"/>
      <c r="G727" s="202"/>
      <c r="H727" s="144"/>
      <c r="J727" s="145"/>
      <c r="K727" s="148"/>
      <c r="L727" s="149"/>
    </row>
    <row r="728" spans="1:12" s="17" customFormat="1" x14ac:dyDescent="0.25">
      <c r="A728" s="229"/>
      <c r="B728" s="55"/>
      <c r="C728" s="55"/>
      <c r="D728" s="55"/>
      <c r="G728" s="202"/>
      <c r="H728" s="144"/>
      <c r="J728" s="145"/>
      <c r="K728" s="148"/>
      <c r="L728" s="149"/>
    </row>
    <row r="729" spans="1:12" s="17" customFormat="1" x14ac:dyDescent="0.25">
      <c r="A729" s="229"/>
      <c r="B729" s="55"/>
      <c r="C729" s="55"/>
      <c r="D729" s="55"/>
      <c r="G729" s="202"/>
      <c r="H729" s="144"/>
      <c r="J729" s="145"/>
      <c r="K729" s="148"/>
      <c r="L729" s="149"/>
    </row>
    <row r="730" spans="1:12" s="17" customFormat="1" x14ac:dyDescent="0.25">
      <c r="A730" s="229"/>
      <c r="B730" s="55"/>
      <c r="C730" s="55"/>
      <c r="D730" s="55"/>
      <c r="G730" s="202"/>
      <c r="H730" s="144"/>
      <c r="J730" s="145"/>
      <c r="K730" s="148"/>
      <c r="L730" s="149"/>
    </row>
    <row r="731" spans="1:12" s="17" customFormat="1" x14ac:dyDescent="0.25">
      <c r="A731" s="229"/>
      <c r="B731" s="55"/>
      <c r="C731" s="55"/>
      <c r="D731" s="55"/>
      <c r="G731" s="202"/>
      <c r="H731" s="144"/>
      <c r="J731" s="145"/>
      <c r="K731" s="148"/>
      <c r="L731" s="149"/>
    </row>
    <row r="732" spans="1:12" s="17" customFormat="1" x14ac:dyDescent="0.25">
      <c r="A732" s="229"/>
      <c r="B732" s="55"/>
      <c r="C732" s="55"/>
      <c r="D732" s="55"/>
      <c r="G732" s="202"/>
      <c r="H732" s="144"/>
      <c r="J732" s="145"/>
      <c r="K732" s="148"/>
      <c r="L732" s="149"/>
    </row>
    <row r="733" spans="1:12" s="17" customFormat="1" x14ac:dyDescent="0.25">
      <c r="A733" s="229"/>
      <c r="B733" s="55"/>
      <c r="C733" s="55"/>
      <c r="D733" s="55"/>
      <c r="G733" s="202"/>
      <c r="H733" s="144"/>
      <c r="J733" s="145"/>
      <c r="K733" s="148"/>
      <c r="L733" s="149"/>
    </row>
    <row r="734" spans="1:12" s="17" customFormat="1" x14ac:dyDescent="0.25">
      <c r="A734" s="229"/>
      <c r="B734" s="55"/>
      <c r="C734" s="55"/>
      <c r="D734" s="55"/>
      <c r="G734" s="202"/>
      <c r="H734" s="144"/>
      <c r="J734" s="145"/>
      <c r="K734" s="148"/>
      <c r="L734" s="149"/>
    </row>
    <row r="735" spans="1:12" s="17" customFormat="1" x14ac:dyDescent="0.25">
      <c r="A735" s="229"/>
      <c r="B735" s="55"/>
      <c r="C735" s="55"/>
      <c r="D735" s="55"/>
      <c r="G735" s="202"/>
      <c r="H735" s="144"/>
      <c r="J735" s="145"/>
      <c r="K735" s="148"/>
      <c r="L735" s="149"/>
    </row>
    <row r="736" spans="1:12" s="17" customFormat="1" x14ac:dyDescent="0.25">
      <c r="A736" s="229"/>
      <c r="B736" s="55"/>
      <c r="C736" s="55"/>
      <c r="D736" s="55"/>
      <c r="G736" s="202"/>
      <c r="H736" s="144"/>
      <c r="J736" s="145"/>
      <c r="K736" s="148"/>
      <c r="L736" s="149"/>
    </row>
    <row r="737" spans="1:12" s="17" customFormat="1" x14ac:dyDescent="0.25">
      <c r="A737" s="229"/>
      <c r="B737" s="55"/>
      <c r="C737" s="55"/>
      <c r="D737" s="55"/>
      <c r="G737" s="202"/>
      <c r="H737" s="144"/>
      <c r="J737" s="145"/>
      <c r="K737" s="148"/>
      <c r="L737" s="149"/>
    </row>
    <row r="738" spans="1:12" s="17" customFormat="1" x14ac:dyDescent="0.25">
      <c r="A738" s="229"/>
      <c r="B738" s="55"/>
      <c r="C738" s="55"/>
      <c r="D738" s="55"/>
      <c r="G738" s="202"/>
      <c r="H738" s="144"/>
      <c r="J738" s="145"/>
      <c r="K738" s="148"/>
      <c r="L738" s="149"/>
    </row>
    <row r="739" spans="1:12" s="17" customFormat="1" x14ac:dyDescent="0.25">
      <c r="A739" s="229"/>
      <c r="B739" s="55"/>
      <c r="C739" s="55"/>
      <c r="D739" s="55"/>
      <c r="G739" s="202"/>
      <c r="H739" s="144"/>
      <c r="J739" s="145"/>
      <c r="K739" s="148"/>
      <c r="L739" s="149"/>
    </row>
    <row r="740" spans="1:12" s="17" customFormat="1" x14ac:dyDescent="0.25">
      <c r="A740" s="229"/>
      <c r="B740" s="55"/>
      <c r="C740" s="55"/>
      <c r="D740" s="55"/>
      <c r="G740" s="202"/>
      <c r="H740" s="144"/>
      <c r="J740" s="145"/>
      <c r="K740" s="148"/>
      <c r="L740" s="149"/>
    </row>
    <row r="741" spans="1:12" s="17" customFormat="1" x14ac:dyDescent="0.25">
      <c r="A741" s="229"/>
      <c r="B741" s="55"/>
      <c r="C741" s="55"/>
      <c r="D741" s="55"/>
      <c r="G741" s="202"/>
      <c r="H741" s="144"/>
      <c r="J741" s="145"/>
      <c r="K741" s="148"/>
      <c r="L741" s="149"/>
    </row>
    <row r="742" spans="1:12" s="17" customFormat="1" x14ac:dyDescent="0.25">
      <c r="A742" s="229"/>
      <c r="B742" s="55"/>
      <c r="C742" s="55"/>
      <c r="D742" s="55"/>
      <c r="G742" s="202"/>
      <c r="H742" s="144"/>
      <c r="J742" s="145"/>
      <c r="K742" s="148"/>
      <c r="L742" s="149"/>
    </row>
    <row r="743" spans="1:12" s="17" customFormat="1" x14ac:dyDescent="0.25">
      <c r="A743" s="229"/>
      <c r="B743" s="55"/>
      <c r="C743" s="55"/>
      <c r="D743" s="55"/>
      <c r="G743" s="202"/>
      <c r="H743" s="144"/>
      <c r="J743" s="145"/>
      <c r="K743" s="148"/>
      <c r="L743" s="149"/>
    </row>
    <row r="744" spans="1:12" s="17" customFormat="1" x14ac:dyDescent="0.25">
      <c r="A744" s="229"/>
      <c r="B744" s="55"/>
      <c r="C744" s="55"/>
      <c r="D744" s="55"/>
      <c r="G744" s="202"/>
      <c r="H744" s="144"/>
      <c r="J744" s="145"/>
      <c r="K744" s="148"/>
      <c r="L744" s="149"/>
    </row>
    <row r="745" spans="1:12" s="17" customFormat="1" x14ac:dyDescent="0.25">
      <c r="A745" s="229"/>
      <c r="B745" s="55"/>
      <c r="C745" s="55"/>
      <c r="D745" s="55"/>
      <c r="G745" s="202"/>
      <c r="H745" s="144"/>
      <c r="J745" s="145"/>
      <c r="K745" s="148"/>
      <c r="L745" s="149"/>
    </row>
    <row r="746" spans="1:12" s="17" customFormat="1" x14ac:dyDescent="0.25">
      <c r="A746" s="229"/>
      <c r="B746" s="55"/>
      <c r="C746" s="55"/>
      <c r="D746" s="55"/>
      <c r="G746" s="202"/>
      <c r="H746" s="144"/>
      <c r="J746" s="145"/>
      <c r="K746" s="148"/>
      <c r="L746" s="149"/>
    </row>
    <row r="747" spans="1:12" s="17" customFormat="1" x14ac:dyDescent="0.25">
      <c r="A747" s="229"/>
      <c r="B747" s="55"/>
      <c r="C747" s="55"/>
      <c r="D747" s="55"/>
      <c r="G747" s="202"/>
      <c r="H747" s="144"/>
      <c r="J747" s="145"/>
      <c r="K747" s="148"/>
      <c r="L747" s="149"/>
    </row>
    <row r="748" spans="1:12" s="17" customFormat="1" x14ac:dyDescent="0.25">
      <c r="A748" s="229"/>
      <c r="B748" s="55"/>
      <c r="C748" s="55"/>
      <c r="D748" s="55"/>
      <c r="G748" s="202"/>
      <c r="H748" s="144"/>
      <c r="J748" s="145"/>
      <c r="K748" s="148"/>
      <c r="L748" s="149"/>
    </row>
    <row r="749" spans="1:12" s="17" customFormat="1" x14ac:dyDescent="0.25">
      <c r="A749" s="229"/>
      <c r="B749" s="55"/>
      <c r="C749" s="55"/>
      <c r="D749" s="55"/>
      <c r="G749" s="202"/>
      <c r="H749" s="144"/>
      <c r="J749" s="145"/>
      <c r="K749" s="148"/>
      <c r="L749" s="149"/>
    </row>
    <row r="750" spans="1:12" s="17" customFormat="1" x14ac:dyDescent="0.25">
      <c r="A750" s="229"/>
      <c r="B750" s="55"/>
      <c r="C750" s="55"/>
      <c r="D750" s="55"/>
      <c r="G750" s="202"/>
      <c r="H750" s="144"/>
      <c r="J750" s="145"/>
      <c r="K750" s="148"/>
      <c r="L750" s="149"/>
    </row>
    <row r="751" spans="1:12" s="17" customFormat="1" x14ac:dyDescent="0.25">
      <c r="A751" s="229"/>
      <c r="B751" s="55"/>
      <c r="C751" s="55"/>
      <c r="D751" s="55"/>
      <c r="G751" s="202"/>
      <c r="H751" s="144"/>
      <c r="J751" s="145"/>
      <c r="K751" s="148"/>
      <c r="L751" s="149"/>
    </row>
    <row r="752" spans="1:12" s="17" customFormat="1" x14ac:dyDescent="0.25">
      <c r="A752" s="229"/>
      <c r="B752" s="55"/>
      <c r="C752" s="55"/>
      <c r="D752" s="55"/>
      <c r="G752" s="202"/>
      <c r="H752" s="144"/>
      <c r="J752" s="145"/>
      <c r="K752" s="148"/>
      <c r="L752" s="149"/>
    </row>
    <row r="753" spans="1:12" s="17" customFormat="1" x14ac:dyDescent="0.25">
      <c r="A753" s="229"/>
      <c r="B753" s="55"/>
      <c r="C753" s="55"/>
      <c r="D753" s="55"/>
      <c r="G753" s="202"/>
      <c r="H753" s="144"/>
      <c r="J753" s="145"/>
      <c r="K753" s="148"/>
      <c r="L753" s="149"/>
    </row>
    <row r="754" spans="1:12" s="17" customFormat="1" x14ac:dyDescent="0.25">
      <c r="A754" s="229"/>
      <c r="B754" s="55"/>
      <c r="C754" s="55"/>
      <c r="D754" s="55"/>
      <c r="G754" s="202"/>
      <c r="H754" s="144"/>
      <c r="J754" s="145"/>
      <c r="K754" s="148"/>
      <c r="L754" s="149"/>
    </row>
    <row r="755" spans="1:12" s="17" customFormat="1" x14ac:dyDescent="0.25">
      <c r="A755" s="229"/>
      <c r="B755" s="55"/>
      <c r="C755" s="55"/>
      <c r="D755" s="55"/>
      <c r="G755" s="202"/>
      <c r="H755" s="144"/>
      <c r="J755" s="145"/>
      <c r="K755" s="148"/>
      <c r="L755" s="149"/>
    </row>
    <row r="756" spans="1:12" s="17" customFormat="1" x14ac:dyDescent="0.25">
      <c r="A756" s="229"/>
      <c r="B756" s="55"/>
      <c r="C756" s="55"/>
      <c r="D756" s="55"/>
      <c r="G756" s="202"/>
      <c r="H756" s="144"/>
      <c r="J756" s="145"/>
      <c r="K756" s="148"/>
      <c r="L756" s="149"/>
    </row>
    <row r="757" spans="1:12" s="17" customFormat="1" x14ac:dyDescent="0.25">
      <c r="A757" s="229"/>
      <c r="B757" s="55"/>
      <c r="C757" s="55"/>
      <c r="D757" s="55"/>
      <c r="G757" s="202"/>
      <c r="H757" s="144"/>
      <c r="J757" s="145"/>
      <c r="K757" s="148"/>
      <c r="L757" s="149"/>
    </row>
    <row r="758" spans="1:12" s="17" customFormat="1" x14ac:dyDescent="0.25">
      <c r="A758" s="229"/>
      <c r="B758" s="55"/>
      <c r="C758" s="55"/>
      <c r="D758" s="55"/>
      <c r="G758" s="202"/>
      <c r="H758" s="144"/>
      <c r="J758" s="145"/>
      <c r="K758" s="148"/>
      <c r="L758" s="149"/>
    </row>
    <row r="759" spans="1:12" s="17" customFormat="1" x14ac:dyDescent="0.25">
      <c r="A759" s="229"/>
      <c r="B759" s="55"/>
      <c r="C759" s="55"/>
      <c r="D759" s="55"/>
      <c r="G759" s="202"/>
      <c r="H759" s="144"/>
      <c r="J759" s="145"/>
      <c r="K759" s="148"/>
      <c r="L759" s="149"/>
    </row>
    <row r="760" spans="1:12" s="17" customFormat="1" x14ac:dyDescent="0.25">
      <c r="A760" s="229"/>
      <c r="B760" s="55"/>
      <c r="C760" s="55"/>
      <c r="D760" s="55"/>
      <c r="G760" s="202"/>
      <c r="H760" s="144"/>
      <c r="J760" s="145"/>
      <c r="K760" s="148"/>
      <c r="L760" s="149"/>
    </row>
    <row r="761" spans="1:12" s="17" customFormat="1" x14ac:dyDescent="0.25">
      <c r="A761" s="229"/>
      <c r="B761" s="55"/>
      <c r="C761" s="55"/>
      <c r="D761" s="55"/>
      <c r="G761" s="202"/>
      <c r="H761" s="144"/>
      <c r="J761" s="145"/>
      <c r="K761" s="148"/>
      <c r="L761" s="149"/>
    </row>
    <row r="762" spans="1:12" s="17" customFormat="1" x14ac:dyDescent="0.25">
      <c r="A762" s="229"/>
      <c r="B762" s="55"/>
      <c r="C762" s="55"/>
      <c r="D762" s="55"/>
      <c r="G762" s="202"/>
      <c r="H762" s="144"/>
      <c r="J762" s="145"/>
      <c r="K762" s="148"/>
      <c r="L762" s="149"/>
    </row>
    <row r="763" spans="1:12" s="17" customFormat="1" x14ac:dyDescent="0.25">
      <c r="A763" s="229"/>
      <c r="B763" s="55"/>
      <c r="C763" s="55"/>
      <c r="D763" s="55"/>
      <c r="G763" s="202"/>
      <c r="H763" s="144"/>
      <c r="J763" s="145"/>
      <c r="K763" s="148"/>
      <c r="L763" s="149"/>
    </row>
    <row r="764" spans="1:12" s="17" customFormat="1" x14ac:dyDescent="0.25">
      <c r="A764" s="229"/>
      <c r="B764" s="55"/>
      <c r="C764" s="55"/>
      <c r="D764" s="55"/>
      <c r="G764" s="202"/>
      <c r="H764" s="144"/>
      <c r="J764" s="145"/>
      <c r="K764" s="148"/>
      <c r="L764" s="149"/>
    </row>
    <row r="765" spans="1:12" s="17" customFormat="1" x14ac:dyDescent="0.25">
      <c r="A765" s="229"/>
      <c r="B765" s="55"/>
      <c r="C765" s="55"/>
      <c r="D765" s="55"/>
      <c r="G765" s="202"/>
      <c r="H765" s="144"/>
      <c r="J765" s="145"/>
      <c r="K765" s="148"/>
      <c r="L765" s="149"/>
    </row>
    <row r="766" spans="1:12" s="17" customFormat="1" x14ac:dyDescent="0.25">
      <c r="A766" s="229"/>
      <c r="B766" s="55"/>
      <c r="C766" s="55"/>
      <c r="D766" s="55"/>
      <c r="G766" s="202"/>
      <c r="H766" s="144"/>
      <c r="J766" s="145"/>
      <c r="K766" s="148"/>
      <c r="L766" s="149"/>
    </row>
    <row r="767" spans="1:12" s="17" customFormat="1" x14ac:dyDescent="0.25">
      <c r="A767" s="229"/>
      <c r="B767" s="55"/>
      <c r="C767" s="55"/>
      <c r="D767" s="55"/>
      <c r="G767" s="202"/>
      <c r="H767" s="144"/>
      <c r="J767" s="145"/>
      <c r="K767" s="148"/>
      <c r="L767" s="149"/>
    </row>
    <row r="768" spans="1:12" s="17" customFormat="1" x14ac:dyDescent="0.25">
      <c r="A768" s="229"/>
      <c r="B768" s="55"/>
      <c r="C768" s="55"/>
      <c r="D768" s="55"/>
      <c r="G768" s="202"/>
      <c r="H768" s="144"/>
      <c r="J768" s="145"/>
      <c r="K768" s="148"/>
      <c r="L768" s="149"/>
    </row>
    <row r="769" spans="1:12" s="17" customFormat="1" x14ac:dyDescent="0.25">
      <c r="A769" s="229"/>
      <c r="B769" s="55"/>
      <c r="C769" s="55"/>
      <c r="D769" s="55"/>
      <c r="G769" s="202"/>
      <c r="H769" s="144"/>
      <c r="J769" s="145"/>
      <c r="K769" s="148"/>
      <c r="L769" s="149"/>
    </row>
    <row r="770" spans="1:12" s="17" customFormat="1" x14ac:dyDescent="0.25">
      <c r="A770" s="229"/>
      <c r="B770" s="55"/>
      <c r="C770" s="55"/>
      <c r="D770" s="55"/>
      <c r="G770" s="202"/>
      <c r="H770" s="144"/>
      <c r="J770" s="145"/>
      <c r="K770" s="148"/>
      <c r="L770" s="149"/>
    </row>
    <row r="771" spans="1:12" s="17" customFormat="1" x14ac:dyDescent="0.25">
      <c r="A771" s="229"/>
      <c r="B771" s="55"/>
      <c r="C771" s="55"/>
      <c r="D771" s="55"/>
      <c r="G771" s="202"/>
      <c r="H771" s="144"/>
      <c r="J771" s="145"/>
      <c r="K771" s="148"/>
      <c r="L771" s="149"/>
    </row>
    <row r="772" spans="1:12" s="17" customFormat="1" x14ac:dyDescent="0.25">
      <c r="A772" s="229"/>
      <c r="B772" s="55"/>
      <c r="C772" s="55"/>
      <c r="D772" s="55"/>
      <c r="G772" s="202"/>
      <c r="H772" s="144"/>
      <c r="J772" s="145"/>
      <c r="K772" s="148"/>
      <c r="L772" s="149"/>
    </row>
    <row r="773" spans="1:12" s="17" customFormat="1" x14ac:dyDescent="0.25">
      <c r="A773" s="229"/>
      <c r="B773" s="55"/>
      <c r="C773" s="55"/>
      <c r="D773" s="55"/>
      <c r="G773" s="202"/>
      <c r="H773" s="144"/>
      <c r="J773" s="145"/>
      <c r="K773" s="148"/>
      <c r="L773" s="149"/>
    </row>
    <row r="774" spans="1:12" s="17" customFormat="1" x14ac:dyDescent="0.25">
      <c r="A774" s="229"/>
      <c r="B774" s="55"/>
      <c r="C774" s="55"/>
      <c r="D774" s="55"/>
      <c r="G774" s="202"/>
      <c r="H774" s="144"/>
      <c r="J774" s="145"/>
      <c r="K774" s="148"/>
      <c r="L774" s="149"/>
    </row>
    <row r="775" spans="1:12" s="17" customFormat="1" x14ac:dyDescent="0.25">
      <c r="A775" s="229"/>
      <c r="B775" s="55"/>
      <c r="C775" s="55"/>
      <c r="D775" s="55"/>
      <c r="G775" s="202"/>
      <c r="H775" s="144"/>
      <c r="J775" s="145"/>
      <c r="K775" s="148"/>
      <c r="L775" s="149"/>
    </row>
    <row r="776" spans="1:12" s="17" customFormat="1" x14ac:dyDescent="0.25">
      <c r="A776" s="229"/>
      <c r="B776" s="55"/>
      <c r="C776" s="55"/>
      <c r="D776" s="55"/>
      <c r="G776" s="202"/>
      <c r="H776" s="144"/>
      <c r="J776" s="145"/>
      <c r="K776" s="148"/>
      <c r="L776" s="149"/>
    </row>
    <row r="777" spans="1:12" s="17" customFormat="1" x14ac:dyDescent="0.25">
      <c r="A777" s="229"/>
      <c r="B777" s="55"/>
      <c r="C777" s="55"/>
      <c r="D777" s="55"/>
      <c r="G777" s="202"/>
      <c r="H777" s="144"/>
      <c r="J777" s="145"/>
      <c r="K777" s="148"/>
      <c r="L777" s="149"/>
    </row>
    <row r="778" spans="1:12" s="17" customFormat="1" x14ac:dyDescent="0.25">
      <c r="A778" s="229"/>
      <c r="B778" s="55"/>
      <c r="C778" s="55"/>
      <c r="D778" s="55"/>
      <c r="G778" s="202"/>
      <c r="H778" s="144"/>
      <c r="J778" s="145"/>
      <c r="K778" s="148"/>
      <c r="L778" s="149"/>
    </row>
    <row r="779" spans="1:12" s="17" customFormat="1" x14ac:dyDescent="0.25">
      <c r="A779" s="229"/>
      <c r="B779" s="55"/>
      <c r="C779" s="55"/>
      <c r="D779" s="55"/>
      <c r="G779" s="202"/>
      <c r="H779" s="144"/>
      <c r="J779" s="145"/>
      <c r="K779" s="148"/>
      <c r="L779" s="149"/>
    </row>
    <row r="780" spans="1:12" s="17" customFormat="1" x14ac:dyDescent="0.25">
      <c r="A780" s="229"/>
      <c r="B780" s="55"/>
      <c r="C780" s="55"/>
      <c r="D780" s="55"/>
      <c r="G780" s="202"/>
      <c r="H780" s="144"/>
      <c r="J780" s="145"/>
      <c r="K780" s="148"/>
      <c r="L780" s="149"/>
    </row>
    <row r="781" spans="1:12" s="17" customFormat="1" x14ac:dyDescent="0.25">
      <c r="A781" s="229"/>
      <c r="B781" s="55"/>
      <c r="C781" s="55"/>
      <c r="D781" s="55"/>
      <c r="G781" s="202"/>
      <c r="H781" s="144"/>
      <c r="J781" s="145"/>
      <c r="K781" s="148"/>
      <c r="L781" s="149"/>
    </row>
    <row r="782" spans="1:12" s="17" customFormat="1" x14ac:dyDescent="0.25">
      <c r="A782" s="229"/>
      <c r="B782" s="55"/>
      <c r="C782" s="55"/>
      <c r="D782" s="55"/>
      <c r="G782" s="202"/>
      <c r="H782" s="144"/>
      <c r="J782" s="145"/>
      <c r="K782" s="148"/>
      <c r="L782" s="149"/>
    </row>
    <row r="783" spans="1:12" s="17" customFormat="1" x14ac:dyDescent="0.25">
      <c r="A783" s="229"/>
      <c r="B783" s="55"/>
      <c r="C783" s="55"/>
      <c r="D783" s="55"/>
      <c r="G783" s="202"/>
      <c r="H783" s="144"/>
      <c r="J783" s="145"/>
      <c r="K783" s="148"/>
      <c r="L783" s="149"/>
    </row>
    <row r="784" spans="1:12" s="17" customFormat="1" x14ac:dyDescent="0.25">
      <c r="A784" s="229"/>
      <c r="B784" s="55"/>
      <c r="C784" s="55"/>
      <c r="D784" s="55"/>
      <c r="G784" s="202"/>
      <c r="H784" s="144"/>
      <c r="J784" s="145"/>
      <c r="K784" s="148"/>
      <c r="L784" s="149"/>
    </row>
    <row r="785" spans="1:12" s="17" customFormat="1" x14ac:dyDescent="0.25">
      <c r="A785" s="229"/>
      <c r="B785" s="55"/>
      <c r="C785" s="55"/>
      <c r="D785" s="55"/>
      <c r="G785" s="202"/>
      <c r="H785" s="144"/>
      <c r="J785" s="145"/>
      <c r="K785" s="148"/>
      <c r="L785" s="149"/>
    </row>
    <row r="786" spans="1:12" s="17" customFormat="1" x14ac:dyDescent="0.25">
      <c r="A786" s="229"/>
      <c r="B786" s="55"/>
      <c r="C786" s="55"/>
      <c r="D786" s="55"/>
      <c r="G786" s="202"/>
      <c r="H786" s="144"/>
      <c r="J786" s="145"/>
      <c r="K786" s="148"/>
      <c r="L786" s="149"/>
    </row>
    <row r="787" spans="1:12" s="17" customFormat="1" x14ac:dyDescent="0.25">
      <c r="A787" s="229"/>
      <c r="B787" s="55"/>
      <c r="C787" s="55"/>
      <c r="D787" s="55"/>
      <c r="G787" s="202"/>
      <c r="H787" s="144"/>
      <c r="J787" s="145"/>
      <c r="K787" s="148"/>
      <c r="L787" s="149"/>
    </row>
    <row r="788" spans="1:12" s="17" customFormat="1" x14ac:dyDescent="0.25">
      <c r="A788" s="229"/>
      <c r="B788" s="55"/>
      <c r="C788" s="55"/>
      <c r="D788" s="55"/>
      <c r="G788" s="202"/>
      <c r="H788" s="144"/>
      <c r="J788" s="145"/>
      <c r="K788" s="148"/>
      <c r="L788" s="149"/>
    </row>
    <row r="789" spans="1:12" s="17" customFormat="1" x14ac:dyDescent="0.25">
      <c r="A789" s="229"/>
      <c r="B789" s="55"/>
      <c r="C789" s="55"/>
      <c r="D789" s="55"/>
      <c r="G789" s="202"/>
      <c r="H789" s="144"/>
      <c r="J789" s="145"/>
      <c r="K789" s="148"/>
      <c r="L789" s="149"/>
    </row>
    <row r="790" spans="1:12" s="17" customFormat="1" x14ac:dyDescent="0.25">
      <c r="A790" s="229"/>
      <c r="B790" s="55"/>
      <c r="C790" s="55"/>
      <c r="D790" s="55"/>
      <c r="G790" s="202"/>
      <c r="H790" s="144"/>
      <c r="J790" s="145"/>
      <c r="K790" s="148"/>
      <c r="L790" s="149"/>
    </row>
    <row r="791" spans="1:12" s="17" customFormat="1" x14ac:dyDescent="0.25">
      <c r="A791" s="229"/>
      <c r="B791" s="55"/>
      <c r="C791" s="55"/>
      <c r="D791" s="55"/>
      <c r="G791" s="202"/>
      <c r="H791" s="144"/>
      <c r="J791" s="145"/>
      <c r="K791" s="148"/>
      <c r="L791" s="149"/>
    </row>
    <row r="792" spans="1:12" s="17" customFormat="1" x14ac:dyDescent="0.25">
      <c r="A792" s="229"/>
      <c r="B792" s="55"/>
      <c r="C792" s="55"/>
      <c r="D792" s="55"/>
      <c r="G792" s="202"/>
      <c r="H792" s="144"/>
      <c r="J792" s="145"/>
      <c r="K792" s="148"/>
      <c r="L792" s="149"/>
    </row>
    <row r="793" spans="1:12" s="17" customFormat="1" x14ac:dyDescent="0.25">
      <c r="A793" s="229"/>
      <c r="B793" s="55"/>
      <c r="C793" s="55"/>
      <c r="D793" s="55"/>
      <c r="G793" s="202"/>
      <c r="H793" s="144"/>
      <c r="J793" s="145"/>
      <c r="K793" s="148"/>
      <c r="L793" s="149"/>
    </row>
    <row r="794" spans="1:12" s="17" customFormat="1" x14ac:dyDescent="0.25">
      <c r="A794" s="229"/>
      <c r="B794" s="55"/>
      <c r="C794" s="55"/>
      <c r="D794" s="55"/>
      <c r="G794" s="202"/>
      <c r="H794" s="144"/>
      <c r="J794" s="145"/>
      <c r="K794" s="148"/>
      <c r="L794" s="149"/>
    </row>
    <row r="795" spans="1:12" s="17" customFormat="1" x14ac:dyDescent="0.25">
      <c r="A795" s="229"/>
      <c r="B795" s="55"/>
      <c r="C795" s="55"/>
      <c r="D795" s="55"/>
      <c r="G795" s="202"/>
      <c r="H795" s="144"/>
      <c r="J795" s="145"/>
      <c r="K795" s="148"/>
      <c r="L795" s="149"/>
    </row>
    <row r="796" spans="1:12" s="17" customFormat="1" x14ac:dyDescent="0.25">
      <c r="A796" s="229"/>
      <c r="B796" s="55"/>
      <c r="C796" s="55"/>
      <c r="D796" s="55"/>
      <c r="G796" s="202"/>
      <c r="H796" s="144"/>
      <c r="J796" s="145"/>
      <c r="K796" s="148"/>
      <c r="L796" s="149"/>
    </row>
    <row r="797" spans="1:12" s="17" customFormat="1" x14ac:dyDescent="0.25">
      <c r="A797" s="229"/>
      <c r="B797" s="55"/>
      <c r="C797" s="55"/>
      <c r="D797" s="55"/>
      <c r="G797" s="202"/>
      <c r="H797" s="144"/>
      <c r="J797" s="145"/>
      <c r="K797" s="148"/>
      <c r="L797" s="149"/>
    </row>
    <row r="798" spans="1:12" s="17" customFormat="1" x14ac:dyDescent="0.25">
      <c r="A798" s="229"/>
      <c r="B798" s="55"/>
      <c r="C798" s="55"/>
      <c r="D798" s="55"/>
      <c r="G798" s="202"/>
      <c r="H798" s="144"/>
      <c r="J798" s="145"/>
      <c r="K798" s="148"/>
      <c r="L798" s="149"/>
    </row>
    <row r="799" spans="1:12" s="17" customFormat="1" x14ac:dyDescent="0.25">
      <c r="A799" s="229"/>
      <c r="B799" s="55"/>
      <c r="C799" s="55"/>
      <c r="D799" s="55"/>
      <c r="G799" s="202"/>
      <c r="H799" s="144"/>
      <c r="J799" s="145"/>
      <c r="K799" s="148"/>
      <c r="L799" s="149"/>
    </row>
    <row r="800" spans="1:12" s="17" customFormat="1" x14ac:dyDescent="0.25">
      <c r="A800" s="229"/>
      <c r="B800" s="55"/>
      <c r="C800" s="55"/>
      <c r="D800" s="55"/>
      <c r="G800" s="202"/>
      <c r="H800" s="144"/>
      <c r="J800" s="145"/>
      <c r="K800" s="148"/>
      <c r="L800" s="149"/>
    </row>
    <row r="801" spans="1:12" s="17" customFormat="1" x14ac:dyDescent="0.25">
      <c r="A801" s="229"/>
      <c r="B801" s="55"/>
      <c r="C801" s="55"/>
      <c r="D801" s="55"/>
      <c r="G801" s="202"/>
      <c r="H801" s="144"/>
      <c r="J801" s="145"/>
      <c r="K801" s="148"/>
      <c r="L801" s="149"/>
    </row>
    <row r="802" spans="1:12" s="17" customFormat="1" x14ac:dyDescent="0.25">
      <c r="A802" s="229"/>
      <c r="B802" s="55"/>
      <c r="C802" s="55"/>
      <c r="D802" s="55"/>
      <c r="G802" s="202"/>
      <c r="H802" s="144"/>
      <c r="J802" s="145"/>
      <c r="K802" s="148"/>
      <c r="L802" s="149"/>
    </row>
    <row r="803" spans="1:12" s="17" customFormat="1" x14ac:dyDescent="0.25">
      <c r="A803" s="229"/>
      <c r="B803" s="55"/>
      <c r="C803" s="55"/>
      <c r="D803" s="55"/>
      <c r="G803" s="202"/>
      <c r="H803" s="144"/>
      <c r="J803" s="145"/>
      <c r="K803" s="148"/>
      <c r="L803" s="149"/>
    </row>
    <row r="804" spans="1:12" s="17" customFormat="1" x14ac:dyDescent="0.25">
      <c r="A804" s="229"/>
      <c r="B804" s="55"/>
      <c r="C804" s="55"/>
      <c r="D804" s="55"/>
      <c r="G804" s="202"/>
      <c r="H804" s="144"/>
      <c r="J804" s="145"/>
      <c r="K804" s="148"/>
      <c r="L804" s="149"/>
    </row>
    <row r="805" spans="1:12" s="17" customFormat="1" x14ac:dyDescent="0.25">
      <c r="A805" s="229"/>
      <c r="B805" s="55"/>
      <c r="C805" s="55"/>
      <c r="D805" s="55"/>
      <c r="G805" s="202"/>
      <c r="H805" s="144"/>
      <c r="J805" s="145"/>
      <c r="K805" s="148"/>
      <c r="L805" s="149"/>
    </row>
    <row r="806" spans="1:12" s="17" customFormat="1" x14ac:dyDescent="0.25">
      <c r="A806" s="229"/>
      <c r="B806" s="55"/>
      <c r="C806" s="55"/>
      <c r="D806" s="55"/>
      <c r="G806" s="202"/>
      <c r="H806" s="144"/>
      <c r="J806" s="145"/>
      <c r="K806" s="148"/>
      <c r="L806" s="149"/>
    </row>
    <row r="807" spans="1:12" s="17" customFormat="1" x14ac:dyDescent="0.25">
      <c r="A807" s="229"/>
      <c r="B807" s="55"/>
      <c r="C807" s="55"/>
      <c r="D807" s="55"/>
      <c r="G807" s="202"/>
      <c r="H807" s="144"/>
      <c r="J807" s="145"/>
      <c r="K807" s="148"/>
      <c r="L807" s="149"/>
    </row>
    <row r="808" spans="1:12" s="17" customFormat="1" x14ac:dyDescent="0.25">
      <c r="A808" s="229"/>
      <c r="B808" s="55"/>
      <c r="C808" s="55"/>
      <c r="D808" s="55"/>
      <c r="G808" s="202"/>
      <c r="H808" s="144"/>
      <c r="J808" s="145"/>
      <c r="K808" s="148"/>
      <c r="L808" s="149"/>
    </row>
    <row r="809" spans="1:12" s="17" customFormat="1" x14ac:dyDescent="0.25">
      <c r="A809" s="229"/>
      <c r="B809" s="55"/>
      <c r="C809" s="55"/>
      <c r="D809" s="55"/>
      <c r="G809" s="202"/>
      <c r="H809" s="144"/>
      <c r="J809" s="145"/>
      <c r="K809" s="148"/>
      <c r="L809" s="149"/>
    </row>
    <row r="810" spans="1:12" s="17" customFormat="1" x14ac:dyDescent="0.25">
      <c r="A810" s="229"/>
      <c r="B810" s="55"/>
      <c r="C810" s="55"/>
      <c r="D810" s="55"/>
      <c r="G810" s="202"/>
      <c r="H810" s="144"/>
      <c r="J810" s="145"/>
      <c r="K810" s="148"/>
      <c r="L810" s="149"/>
    </row>
    <row r="811" spans="1:12" s="17" customFormat="1" x14ac:dyDescent="0.25">
      <c r="A811" s="229"/>
      <c r="B811" s="55"/>
      <c r="C811" s="55"/>
      <c r="D811" s="55"/>
      <c r="G811" s="202"/>
      <c r="H811" s="144"/>
      <c r="J811" s="145"/>
      <c r="K811" s="148"/>
      <c r="L811" s="149"/>
    </row>
    <row r="812" spans="1:12" s="17" customFormat="1" x14ac:dyDescent="0.25">
      <c r="A812" s="229"/>
      <c r="B812" s="55"/>
      <c r="C812" s="55"/>
      <c r="D812" s="55"/>
      <c r="G812" s="202"/>
      <c r="H812" s="144"/>
      <c r="J812" s="145"/>
      <c r="K812" s="148"/>
      <c r="L812" s="149"/>
    </row>
    <row r="813" spans="1:12" s="17" customFormat="1" x14ac:dyDescent="0.25">
      <c r="A813" s="229"/>
      <c r="B813" s="55"/>
      <c r="C813" s="55"/>
      <c r="D813" s="55"/>
      <c r="G813" s="202"/>
      <c r="H813" s="144"/>
      <c r="J813" s="145"/>
      <c r="K813" s="148"/>
      <c r="L813" s="149"/>
    </row>
    <row r="814" spans="1:12" s="17" customFormat="1" x14ac:dyDescent="0.25">
      <c r="A814" s="229"/>
      <c r="B814" s="55"/>
      <c r="C814" s="55"/>
      <c r="D814" s="55"/>
      <c r="G814" s="202"/>
      <c r="H814" s="144"/>
      <c r="J814" s="145"/>
      <c r="K814" s="148"/>
      <c r="L814" s="149"/>
    </row>
    <row r="815" spans="1:12" s="17" customFormat="1" x14ac:dyDescent="0.25">
      <c r="A815" s="229"/>
      <c r="B815" s="55"/>
      <c r="C815" s="55"/>
      <c r="D815" s="55"/>
      <c r="G815" s="202"/>
      <c r="H815" s="144"/>
      <c r="J815" s="145"/>
      <c r="K815" s="148"/>
      <c r="L815" s="149"/>
    </row>
    <row r="816" spans="1:12" s="17" customFormat="1" x14ac:dyDescent="0.25">
      <c r="A816" s="229"/>
      <c r="B816" s="55"/>
      <c r="C816" s="55"/>
      <c r="D816" s="55"/>
      <c r="G816" s="202"/>
      <c r="H816" s="144"/>
      <c r="J816" s="145"/>
      <c r="K816" s="148"/>
      <c r="L816" s="149"/>
    </row>
    <row r="817" spans="1:12" s="17" customFormat="1" x14ac:dyDescent="0.25">
      <c r="A817" s="229"/>
      <c r="B817" s="55"/>
      <c r="C817" s="55"/>
      <c r="D817" s="55"/>
      <c r="G817" s="202"/>
      <c r="H817" s="144"/>
      <c r="J817" s="145"/>
      <c r="K817" s="148"/>
      <c r="L817" s="149"/>
    </row>
    <row r="818" spans="1:12" s="17" customFormat="1" x14ac:dyDescent="0.25">
      <c r="A818" s="229"/>
      <c r="B818" s="55"/>
      <c r="C818" s="55"/>
      <c r="D818" s="55"/>
      <c r="G818" s="202"/>
      <c r="H818" s="144"/>
      <c r="J818" s="145"/>
      <c r="K818" s="148"/>
      <c r="L818" s="149"/>
    </row>
    <row r="819" spans="1:12" s="17" customFormat="1" x14ac:dyDescent="0.25">
      <c r="A819" s="229"/>
      <c r="B819" s="55"/>
      <c r="C819" s="55"/>
      <c r="D819" s="55"/>
      <c r="G819" s="202"/>
      <c r="H819" s="144"/>
      <c r="J819" s="145"/>
      <c r="K819" s="148"/>
      <c r="L819" s="149"/>
    </row>
    <row r="820" spans="1:12" s="17" customFormat="1" x14ac:dyDescent="0.25">
      <c r="A820" s="229"/>
      <c r="B820" s="55"/>
      <c r="C820" s="55"/>
      <c r="D820" s="55"/>
      <c r="G820" s="202"/>
      <c r="H820" s="144"/>
      <c r="J820" s="145"/>
      <c r="K820" s="148"/>
      <c r="L820" s="149"/>
    </row>
    <row r="821" spans="1:12" s="17" customFormat="1" x14ac:dyDescent="0.25">
      <c r="A821" s="229"/>
      <c r="B821" s="55"/>
      <c r="C821" s="55"/>
      <c r="D821" s="55"/>
      <c r="G821" s="202"/>
      <c r="H821" s="144"/>
      <c r="J821" s="145"/>
      <c r="K821" s="148"/>
      <c r="L821" s="149"/>
    </row>
    <row r="822" spans="1:12" s="17" customFormat="1" x14ac:dyDescent="0.25">
      <c r="A822" s="229"/>
      <c r="B822" s="55"/>
      <c r="C822" s="55"/>
      <c r="D822" s="55"/>
      <c r="G822" s="202"/>
      <c r="H822" s="144"/>
      <c r="J822" s="145"/>
      <c r="K822" s="148"/>
      <c r="L822" s="149"/>
    </row>
    <row r="823" spans="1:12" s="17" customFormat="1" x14ac:dyDescent="0.25">
      <c r="A823" s="229"/>
      <c r="B823" s="55"/>
      <c r="C823" s="55"/>
      <c r="D823" s="55"/>
      <c r="G823" s="202"/>
      <c r="H823" s="144"/>
      <c r="J823" s="145"/>
      <c r="K823" s="148"/>
      <c r="L823" s="149"/>
    </row>
    <row r="824" spans="1:12" s="17" customFormat="1" x14ac:dyDescent="0.25">
      <c r="A824" s="229"/>
      <c r="B824" s="55"/>
      <c r="C824" s="55"/>
      <c r="D824" s="55"/>
      <c r="G824" s="202"/>
      <c r="H824" s="144"/>
      <c r="J824" s="145"/>
      <c r="K824" s="148"/>
      <c r="L824" s="149"/>
    </row>
    <row r="825" spans="1:12" s="17" customFormat="1" x14ac:dyDescent="0.25">
      <c r="A825" s="229"/>
      <c r="B825" s="55"/>
      <c r="C825" s="55"/>
      <c r="D825" s="55"/>
      <c r="G825" s="202"/>
      <c r="H825" s="144"/>
      <c r="J825" s="145"/>
      <c r="K825" s="148"/>
      <c r="L825" s="149"/>
    </row>
    <row r="826" spans="1:12" s="17" customFormat="1" x14ac:dyDescent="0.25">
      <c r="A826" s="229"/>
      <c r="B826" s="55"/>
      <c r="C826" s="55"/>
      <c r="D826" s="55"/>
      <c r="G826" s="202"/>
      <c r="H826" s="144"/>
      <c r="J826" s="145"/>
      <c r="K826" s="148"/>
      <c r="L826" s="149"/>
    </row>
    <row r="827" spans="1:12" s="17" customFormat="1" x14ac:dyDescent="0.25">
      <c r="A827" s="229"/>
      <c r="B827" s="55"/>
      <c r="C827" s="55"/>
      <c r="D827" s="55"/>
      <c r="G827" s="202"/>
      <c r="H827" s="144"/>
      <c r="J827" s="145"/>
      <c r="K827" s="148"/>
      <c r="L827" s="149"/>
    </row>
    <row r="828" spans="1:12" s="17" customFormat="1" x14ac:dyDescent="0.25">
      <c r="A828" s="229"/>
      <c r="B828" s="55"/>
      <c r="C828" s="55"/>
      <c r="D828" s="55"/>
      <c r="G828" s="202"/>
      <c r="H828" s="144"/>
      <c r="J828" s="145"/>
      <c r="K828" s="148"/>
      <c r="L828" s="149"/>
    </row>
    <row r="829" spans="1:12" s="17" customFormat="1" x14ac:dyDescent="0.25">
      <c r="A829" s="229"/>
      <c r="B829" s="55"/>
      <c r="C829" s="55"/>
      <c r="D829" s="55"/>
      <c r="G829" s="202"/>
      <c r="H829" s="144"/>
      <c r="J829" s="145"/>
      <c r="K829" s="148"/>
      <c r="L829" s="149"/>
    </row>
    <row r="830" spans="1:12" s="17" customFormat="1" x14ac:dyDescent="0.25">
      <c r="A830" s="229"/>
      <c r="B830" s="55"/>
      <c r="C830" s="55"/>
      <c r="D830" s="55"/>
      <c r="G830" s="202"/>
      <c r="H830" s="144"/>
      <c r="J830" s="145"/>
      <c r="K830" s="148"/>
      <c r="L830" s="149"/>
    </row>
    <row r="831" spans="1:12" s="17" customFormat="1" x14ac:dyDescent="0.25">
      <c r="A831" s="229"/>
      <c r="B831" s="55"/>
      <c r="C831" s="55"/>
      <c r="D831" s="55"/>
      <c r="G831" s="202"/>
      <c r="H831" s="144"/>
      <c r="J831" s="145"/>
      <c r="K831" s="148"/>
      <c r="L831" s="149"/>
    </row>
    <row r="832" spans="1:12" s="17" customFormat="1" x14ac:dyDescent="0.25">
      <c r="A832" s="229"/>
      <c r="B832" s="55"/>
      <c r="C832" s="55"/>
      <c r="D832" s="55"/>
      <c r="G832" s="202"/>
      <c r="H832" s="144"/>
      <c r="J832" s="145"/>
      <c r="K832" s="148"/>
      <c r="L832" s="149"/>
    </row>
    <row r="833" spans="1:12" s="17" customFormat="1" x14ac:dyDescent="0.25">
      <c r="A833" s="229"/>
      <c r="B833" s="55"/>
      <c r="C833" s="55"/>
      <c r="D833" s="55"/>
      <c r="G833" s="202"/>
      <c r="H833" s="144"/>
      <c r="J833" s="145"/>
      <c r="K833" s="148"/>
      <c r="L833" s="149"/>
    </row>
    <row r="834" spans="1:12" s="17" customFormat="1" x14ac:dyDescent="0.25">
      <c r="A834" s="229"/>
      <c r="B834" s="55"/>
      <c r="C834" s="55"/>
      <c r="D834" s="55"/>
      <c r="G834" s="202"/>
      <c r="H834" s="144"/>
      <c r="J834" s="145"/>
      <c r="K834" s="148"/>
      <c r="L834" s="149"/>
    </row>
    <row r="835" spans="1:12" s="17" customFormat="1" x14ac:dyDescent="0.25">
      <c r="A835" s="229"/>
      <c r="B835" s="55"/>
      <c r="C835" s="55"/>
      <c r="D835" s="55"/>
      <c r="G835" s="202"/>
      <c r="H835" s="144"/>
      <c r="J835" s="145"/>
      <c r="K835" s="148"/>
      <c r="L835" s="149"/>
    </row>
    <row r="836" spans="1:12" s="17" customFormat="1" x14ac:dyDescent="0.25">
      <c r="A836" s="229"/>
      <c r="B836" s="55"/>
      <c r="C836" s="55"/>
      <c r="D836" s="55"/>
      <c r="G836" s="202"/>
      <c r="H836" s="144"/>
      <c r="J836" s="145"/>
      <c r="K836" s="148"/>
      <c r="L836" s="149"/>
    </row>
    <row r="837" spans="1:12" s="17" customFormat="1" x14ac:dyDescent="0.25">
      <c r="A837" s="229"/>
      <c r="B837" s="55"/>
      <c r="C837" s="55"/>
      <c r="D837" s="55"/>
      <c r="G837" s="202"/>
      <c r="H837" s="144"/>
      <c r="J837" s="145"/>
      <c r="K837" s="148"/>
      <c r="L837" s="149"/>
    </row>
    <row r="838" spans="1:12" s="17" customFormat="1" x14ac:dyDescent="0.25">
      <c r="A838" s="229"/>
      <c r="B838" s="55"/>
      <c r="C838" s="55"/>
      <c r="D838" s="55"/>
      <c r="G838" s="202"/>
      <c r="H838" s="144"/>
      <c r="J838" s="145"/>
      <c r="K838" s="148"/>
      <c r="L838" s="149"/>
    </row>
    <row r="839" spans="1:12" s="17" customFormat="1" x14ac:dyDescent="0.25">
      <c r="A839" s="229"/>
      <c r="B839" s="55"/>
      <c r="C839" s="55"/>
      <c r="D839" s="55"/>
      <c r="G839" s="202"/>
      <c r="H839" s="144"/>
      <c r="J839" s="145"/>
      <c r="K839" s="148"/>
      <c r="L839" s="149"/>
    </row>
    <row r="840" spans="1:12" s="17" customFormat="1" x14ac:dyDescent="0.25">
      <c r="A840" s="229"/>
      <c r="B840" s="55"/>
      <c r="C840" s="55"/>
      <c r="D840" s="55"/>
      <c r="G840" s="202"/>
      <c r="H840" s="144"/>
      <c r="J840" s="145"/>
      <c r="K840" s="148"/>
      <c r="L840" s="149"/>
    </row>
    <row r="841" spans="1:12" s="17" customFormat="1" x14ac:dyDescent="0.25">
      <c r="A841" s="229"/>
      <c r="B841" s="55"/>
      <c r="C841" s="55"/>
      <c r="D841" s="55"/>
      <c r="G841" s="202"/>
      <c r="H841" s="144"/>
      <c r="J841" s="145"/>
      <c r="K841" s="148"/>
      <c r="L841" s="149"/>
    </row>
    <row r="842" spans="1:12" s="17" customFormat="1" x14ac:dyDescent="0.25">
      <c r="A842" s="229"/>
      <c r="B842" s="55"/>
      <c r="C842" s="55"/>
      <c r="D842" s="55"/>
      <c r="G842" s="202"/>
      <c r="H842" s="144"/>
      <c r="J842" s="145"/>
      <c r="K842" s="148"/>
      <c r="L842" s="149"/>
    </row>
    <row r="843" spans="1:12" s="17" customFormat="1" x14ac:dyDescent="0.25">
      <c r="A843" s="229"/>
      <c r="B843" s="55"/>
      <c r="C843" s="55"/>
      <c r="D843" s="55"/>
      <c r="G843" s="202"/>
      <c r="H843" s="144"/>
      <c r="J843" s="145"/>
      <c r="K843" s="148"/>
      <c r="L843" s="149"/>
    </row>
    <row r="844" spans="1:12" s="17" customFormat="1" x14ac:dyDescent="0.25">
      <c r="A844" s="229"/>
      <c r="B844" s="55"/>
      <c r="C844" s="55"/>
      <c r="D844" s="55"/>
      <c r="G844" s="202"/>
      <c r="H844" s="144"/>
      <c r="J844" s="145"/>
      <c r="K844" s="148"/>
      <c r="L844" s="149"/>
    </row>
    <row r="845" spans="1:12" s="17" customFormat="1" x14ac:dyDescent="0.25">
      <c r="A845" s="229"/>
      <c r="B845" s="55"/>
      <c r="C845" s="55"/>
      <c r="D845" s="55"/>
      <c r="G845" s="202"/>
      <c r="H845" s="144"/>
      <c r="J845" s="145"/>
      <c r="K845" s="148"/>
      <c r="L845" s="149"/>
    </row>
    <row r="846" spans="1:12" s="17" customFormat="1" x14ac:dyDescent="0.25">
      <c r="A846" s="229"/>
      <c r="B846" s="55"/>
      <c r="C846" s="55"/>
      <c r="D846" s="55"/>
      <c r="G846" s="202"/>
      <c r="H846" s="144"/>
      <c r="J846" s="145"/>
      <c r="K846" s="148"/>
      <c r="L846" s="149"/>
    </row>
    <row r="847" spans="1:12" s="17" customFormat="1" x14ac:dyDescent="0.25">
      <c r="A847" s="229"/>
      <c r="B847" s="55"/>
      <c r="C847" s="55"/>
      <c r="D847" s="55"/>
      <c r="G847" s="202"/>
      <c r="H847" s="144"/>
      <c r="J847" s="145"/>
      <c r="K847" s="148"/>
      <c r="L847" s="149"/>
    </row>
    <row r="848" spans="1:12" s="17" customFormat="1" x14ac:dyDescent="0.25">
      <c r="A848" s="229"/>
      <c r="B848" s="55"/>
      <c r="C848" s="55"/>
      <c r="D848" s="55"/>
      <c r="G848" s="202"/>
      <c r="H848" s="144"/>
      <c r="J848" s="145"/>
      <c r="K848" s="148"/>
      <c r="L848" s="149"/>
    </row>
    <row r="849" spans="1:12" s="17" customFormat="1" x14ac:dyDescent="0.25">
      <c r="A849" s="229"/>
      <c r="B849" s="55"/>
      <c r="C849" s="55"/>
      <c r="D849" s="55"/>
      <c r="G849" s="202"/>
      <c r="H849" s="144"/>
      <c r="J849" s="145"/>
      <c r="K849" s="148"/>
      <c r="L849" s="149"/>
    </row>
    <row r="850" spans="1:12" s="17" customFormat="1" x14ac:dyDescent="0.25">
      <c r="A850" s="229"/>
      <c r="B850" s="55"/>
      <c r="C850" s="55"/>
      <c r="D850" s="55"/>
      <c r="G850" s="202"/>
      <c r="H850" s="144"/>
      <c r="J850" s="145"/>
      <c r="K850" s="148"/>
      <c r="L850" s="149"/>
    </row>
    <row r="851" spans="1:12" s="17" customFormat="1" x14ac:dyDescent="0.25">
      <c r="A851" s="229"/>
      <c r="B851" s="55"/>
      <c r="C851" s="55"/>
      <c r="D851" s="55"/>
      <c r="G851" s="202"/>
      <c r="H851" s="144"/>
      <c r="J851" s="145"/>
      <c r="K851" s="148"/>
      <c r="L851" s="149"/>
    </row>
    <row r="852" spans="1:12" s="17" customFormat="1" x14ac:dyDescent="0.25">
      <c r="A852" s="229"/>
      <c r="B852" s="55"/>
      <c r="C852" s="55"/>
      <c r="D852" s="55"/>
      <c r="G852" s="202"/>
      <c r="H852" s="144"/>
      <c r="J852" s="145"/>
      <c r="K852" s="148"/>
      <c r="L852" s="149"/>
    </row>
    <row r="853" spans="1:12" s="17" customFormat="1" x14ac:dyDescent="0.25">
      <c r="A853" s="229"/>
      <c r="B853" s="55"/>
      <c r="C853" s="55"/>
      <c r="D853" s="55"/>
      <c r="G853" s="202"/>
      <c r="H853" s="144"/>
      <c r="J853" s="145"/>
      <c r="K853" s="148"/>
      <c r="L853" s="149"/>
    </row>
    <row r="854" spans="1:12" s="17" customFormat="1" x14ac:dyDescent="0.25">
      <c r="A854" s="229"/>
      <c r="B854" s="55"/>
      <c r="C854" s="55"/>
      <c r="D854" s="55"/>
      <c r="G854" s="202"/>
      <c r="H854" s="144"/>
      <c r="J854" s="145"/>
      <c r="K854" s="148"/>
      <c r="L854" s="149"/>
    </row>
    <row r="855" spans="1:12" s="17" customFormat="1" x14ac:dyDescent="0.25">
      <c r="A855" s="229"/>
      <c r="B855" s="55"/>
      <c r="C855" s="55"/>
      <c r="D855" s="55"/>
      <c r="G855" s="202"/>
      <c r="H855" s="144"/>
      <c r="J855" s="145"/>
      <c r="K855" s="148"/>
      <c r="L855" s="149"/>
    </row>
    <row r="856" spans="1:12" s="17" customFormat="1" x14ac:dyDescent="0.25">
      <c r="A856" s="229"/>
      <c r="B856" s="55"/>
      <c r="C856" s="55"/>
      <c r="D856" s="55"/>
      <c r="G856" s="202"/>
      <c r="H856" s="144"/>
      <c r="J856" s="145"/>
      <c r="K856" s="148"/>
      <c r="L856" s="149"/>
    </row>
    <row r="857" spans="1:12" s="17" customFormat="1" x14ac:dyDescent="0.25">
      <c r="A857" s="229"/>
      <c r="B857" s="55"/>
      <c r="C857" s="55"/>
      <c r="D857" s="55"/>
      <c r="G857" s="202"/>
      <c r="H857" s="144"/>
      <c r="J857" s="145"/>
      <c r="K857" s="148"/>
      <c r="L857" s="149"/>
    </row>
    <row r="858" spans="1:12" s="17" customFormat="1" x14ac:dyDescent="0.25">
      <c r="A858" s="229"/>
      <c r="B858" s="55"/>
      <c r="C858" s="55"/>
      <c r="D858" s="55"/>
      <c r="G858" s="202"/>
      <c r="H858" s="144"/>
      <c r="J858" s="145"/>
      <c r="K858" s="148"/>
      <c r="L858" s="149"/>
    </row>
    <row r="859" spans="1:12" s="17" customFormat="1" x14ac:dyDescent="0.25">
      <c r="A859" s="229"/>
      <c r="B859" s="55"/>
      <c r="C859" s="55"/>
      <c r="D859" s="55"/>
      <c r="G859" s="202"/>
      <c r="H859" s="144"/>
      <c r="J859" s="145"/>
      <c r="K859" s="148"/>
      <c r="L859" s="149"/>
    </row>
    <row r="860" spans="1:12" s="17" customFormat="1" x14ac:dyDescent="0.25">
      <c r="A860" s="229"/>
      <c r="B860" s="55"/>
      <c r="C860" s="55"/>
      <c r="D860" s="55"/>
      <c r="G860" s="202"/>
      <c r="H860" s="144"/>
      <c r="J860" s="145"/>
      <c r="K860" s="148"/>
      <c r="L860" s="149"/>
    </row>
    <row r="861" spans="1:12" s="17" customFormat="1" x14ac:dyDescent="0.25">
      <c r="A861" s="229"/>
      <c r="B861" s="55"/>
      <c r="C861" s="55"/>
      <c r="D861" s="55"/>
      <c r="G861" s="202"/>
      <c r="H861" s="144"/>
      <c r="J861" s="145"/>
      <c r="K861" s="148"/>
      <c r="L861" s="149"/>
    </row>
    <row r="862" spans="1:12" s="17" customFormat="1" x14ac:dyDescent="0.25">
      <c r="A862" s="229"/>
      <c r="B862" s="55"/>
      <c r="C862" s="55"/>
      <c r="D862" s="55"/>
      <c r="G862" s="202"/>
      <c r="H862" s="144"/>
      <c r="J862" s="145"/>
      <c r="K862" s="148"/>
      <c r="L862" s="149"/>
    </row>
    <row r="863" spans="1:12" s="17" customFormat="1" x14ac:dyDescent="0.25">
      <c r="A863" s="229"/>
      <c r="B863" s="55"/>
      <c r="C863" s="55"/>
      <c r="D863" s="55"/>
      <c r="G863" s="202"/>
      <c r="H863" s="144"/>
      <c r="J863" s="145"/>
      <c r="K863" s="148"/>
      <c r="L863" s="149"/>
    </row>
    <row r="864" spans="1:12" s="17" customFormat="1" x14ac:dyDescent="0.25">
      <c r="A864" s="229"/>
      <c r="B864" s="55"/>
      <c r="C864" s="55"/>
      <c r="D864" s="55"/>
      <c r="G864" s="202"/>
      <c r="H864" s="144"/>
      <c r="J864" s="145"/>
      <c r="K864" s="148"/>
      <c r="L864" s="149"/>
    </row>
    <row r="865" spans="1:12" s="17" customFormat="1" x14ac:dyDescent="0.25">
      <c r="A865" s="229"/>
      <c r="B865" s="55"/>
      <c r="C865" s="55"/>
      <c r="D865" s="55"/>
      <c r="G865" s="202"/>
      <c r="H865" s="144"/>
      <c r="J865" s="145"/>
      <c r="K865" s="148"/>
      <c r="L865" s="149"/>
    </row>
    <row r="866" spans="1:12" s="17" customFormat="1" x14ac:dyDescent="0.25">
      <c r="A866" s="229"/>
      <c r="B866" s="55"/>
      <c r="C866" s="55"/>
      <c r="D866" s="55"/>
      <c r="G866" s="202"/>
      <c r="H866" s="144"/>
      <c r="J866" s="145"/>
      <c r="K866" s="148"/>
      <c r="L866" s="149"/>
    </row>
    <row r="867" spans="1:12" s="17" customFormat="1" x14ac:dyDescent="0.25">
      <c r="A867" s="229"/>
      <c r="B867" s="55"/>
      <c r="C867" s="55"/>
      <c r="D867" s="55"/>
      <c r="G867" s="202"/>
      <c r="H867" s="144"/>
      <c r="J867" s="145"/>
      <c r="K867" s="148"/>
      <c r="L867" s="149"/>
    </row>
    <row r="868" spans="1:12" s="17" customFormat="1" x14ac:dyDescent="0.25">
      <c r="A868" s="229"/>
      <c r="B868" s="55"/>
      <c r="C868" s="55"/>
      <c r="D868" s="55"/>
      <c r="G868" s="202"/>
      <c r="H868" s="144"/>
      <c r="J868" s="145"/>
      <c r="K868" s="148"/>
      <c r="L868" s="149"/>
    </row>
    <row r="869" spans="1:12" s="17" customFormat="1" x14ac:dyDescent="0.25">
      <c r="A869" s="229"/>
      <c r="B869" s="55"/>
      <c r="C869" s="55"/>
      <c r="D869" s="55"/>
      <c r="G869" s="202"/>
      <c r="H869" s="144"/>
      <c r="J869" s="145"/>
      <c r="K869" s="148"/>
      <c r="L869" s="149"/>
    </row>
    <row r="870" spans="1:12" s="17" customFormat="1" x14ac:dyDescent="0.25">
      <c r="A870" s="229"/>
      <c r="B870" s="55"/>
      <c r="C870" s="55"/>
      <c r="D870" s="55"/>
      <c r="G870" s="202"/>
      <c r="H870" s="144"/>
      <c r="J870" s="145"/>
      <c r="K870" s="148"/>
      <c r="L870" s="149"/>
    </row>
    <row r="871" spans="1:12" s="17" customFormat="1" x14ac:dyDescent="0.25">
      <c r="A871" s="229"/>
      <c r="B871" s="55"/>
      <c r="C871" s="55"/>
      <c r="D871" s="55"/>
      <c r="G871" s="202"/>
      <c r="H871" s="144"/>
      <c r="J871" s="145"/>
      <c r="K871" s="148"/>
      <c r="L871" s="149"/>
    </row>
    <row r="872" spans="1:12" s="17" customFormat="1" x14ac:dyDescent="0.25">
      <c r="A872" s="229"/>
      <c r="B872" s="55"/>
      <c r="C872" s="55"/>
      <c r="D872" s="55"/>
      <c r="G872" s="202"/>
      <c r="H872" s="144"/>
      <c r="J872" s="145"/>
      <c r="K872" s="148"/>
      <c r="L872" s="149"/>
    </row>
    <row r="873" spans="1:12" s="17" customFormat="1" x14ac:dyDescent="0.25">
      <c r="A873" s="229"/>
      <c r="B873" s="55"/>
      <c r="C873" s="55"/>
      <c r="D873" s="55"/>
      <c r="G873" s="202"/>
      <c r="H873" s="144"/>
      <c r="J873" s="145"/>
      <c r="K873" s="148"/>
      <c r="L873" s="149"/>
    </row>
    <row r="874" spans="1:12" s="17" customFormat="1" x14ac:dyDescent="0.25">
      <c r="A874" s="229"/>
      <c r="B874" s="55"/>
      <c r="C874" s="55"/>
      <c r="D874" s="55"/>
      <c r="G874" s="202"/>
      <c r="H874" s="144"/>
      <c r="J874" s="145"/>
      <c r="K874" s="148"/>
      <c r="L874" s="149"/>
    </row>
    <row r="875" spans="1:12" s="17" customFormat="1" x14ac:dyDescent="0.25">
      <c r="A875" s="229"/>
      <c r="B875" s="55"/>
      <c r="C875" s="55"/>
      <c r="D875" s="55"/>
      <c r="G875" s="202"/>
      <c r="H875" s="144"/>
      <c r="J875" s="145"/>
      <c r="K875" s="148"/>
      <c r="L875" s="149"/>
    </row>
    <row r="876" spans="1:12" s="17" customFormat="1" x14ac:dyDescent="0.25">
      <c r="A876" s="229"/>
      <c r="B876" s="55"/>
      <c r="C876" s="55"/>
      <c r="D876" s="55"/>
      <c r="G876" s="202"/>
      <c r="H876" s="144"/>
      <c r="J876" s="145"/>
      <c r="K876" s="148"/>
      <c r="L876" s="149"/>
    </row>
    <row r="877" spans="1:12" s="17" customFormat="1" x14ac:dyDescent="0.25">
      <c r="A877" s="229"/>
      <c r="B877" s="55"/>
      <c r="C877" s="55"/>
      <c r="D877" s="55"/>
      <c r="G877" s="202"/>
      <c r="H877" s="144"/>
      <c r="J877" s="145"/>
      <c r="K877" s="148"/>
      <c r="L877" s="149"/>
    </row>
    <row r="878" spans="1:12" s="17" customFormat="1" x14ac:dyDescent="0.25">
      <c r="A878" s="229"/>
      <c r="B878" s="55"/>
      <c r="C878" s="55"/>
      <c r="D878" s="55"/>
      <c r="G878" s="202"/>
      <c r="H878" s="144"/>
      <c r="J878" s="145"/>
      <c r="K878" s="148"/>
      <c r="L878" s="149"/>
    </row>
    <row r="879" spans="1:12" s="17" customFormat="1" x14ac:dyDescent="0.25">
      <c r="A879" s="229"/>
      <c r="B879" s="55"/>
      <c r="C879" s="55"/>
      <c r="D879" s="55"/>
      <c r="G879" s="202"/>
      <c r="H879" s="144"/>
      <c r="J879" s="145"/>
      <c r="K879" s="148"/>
      <c r="L879" s="149"/>
    </row>
    <row r="880" spans="1:12" s="17" customFormat="1" x14ac:dyDescent="0.25">
      <c r="A880" s="229"/>
      <c r="B880" s="55"/>
      <c r="C880" s="55"/>
      <c r="D880" s="55"/>
      <c r="G880" s="202"/>
      <c r="H880" s="144"/>
      <c r="J880" s="145"/>
      <c r="K880" s="148"/>
      <c r="L880" s="149"/>
    </row>
    <row r="881" spans="1:12" s="17" customFormat="1" x14ac:dyDescent="0.25">
      <c r="A881" s="229"/>
      <c r="B881" s="55"/>
      <c r="C881" s="55"/>
      <c r="D881" s="55"/>
      <c r="G881" s="202"/>
      <c r="H881" s="144"/>
      <c r="J881" s="145"/>
      <c r="K881" s="148"/>
      <c r="L881" s="149"/>
    </row>
    <row r="882" spans="1:12" s="17" customFormat="1" x14ac:dyDescent="0.25">
      <c r="A882" s="229"/>
      <c r="B882" s="55"/>
      <c r="C882" s="55"/>
      <c r="D882" s="55"/>
      <c r="G882" s="202"/>
      <c r="H882" s="144"/>
      <c r="J882" s="145"/>
      <c r="K882" s="148"/>
      <c r="L882" s="149"/>
    </row>
    <row r="883" spans="1:12" s="17" customFormat="1" x14ac:dyDescent="0.25">
      <c r="A883" s="229"/>
      <c r="B883" s="55"/>
      <c r="C883" s="55"/>
      <c r="D883" s="55"/>
      <c r="G883" s="202"/>
      <c r="H883" s="144"/>
      <c r="J883" s="145"/>
      <c r="K883" s="148"/>
      <c r="L883" s="149"/>
    </row>
    <row r="884" spans="1:12" s="17" customFormat="1" x14ac:dyDescent="0.25">
      <c r="A884" s="229"/>
      <c r="B884" s="55"/>
      <c r="C884" s="55"/>
      <c r="D884" s="55"/>
      <c r="G884" s="202"/>
      <c r="H884" s="144"/>
      <c r="J884" s="145"/>
      <c r="K884" s="148"/>
      <c r="L884" s="149"/>
    </row>
    <row r="885" spans="1:12" s="17" customFormat="1" x14ac:dyDescent="0.25">
      <c r="A885" s="229"/>
      <c r="B885" s="55"/>
      <c r="C885" s="55"/>
      <c r="D885" s="55"/>
      <c r="G885" s="202"/>
      <c r="H885" s="144"/>
      <c r="J885" s="145"/>
      <c r="K885" s="148"/>
      <c r="L885" s="149"/>
    </row>
    <row r="886" spans="1:12" s="17" customFormat="1" x14ac:dyDescent="0.25">
      <c r="A886" s="229"/>
      <c r="B886" s="55"/>
      <c r="C886" s="55"/>
      <c r="D886" s="55"/>
      <c r="G886" s="202"/>
      <c r="H886" s="144"/>
      <c r="J886" s="145"/>
      <c r="K886" s="148"/>
      <c r="L886" s="149"/>
    </row>
    <row r="887" spans="1:12" s="17" customFormat="1" x14ac:dyDescent="0.25">
      <c r="A887" s="229"/>
      <c r="B887" s="55"/>
      <c r="C887" s="55"/>
      <c r="D887" s="55"/>
      <c r="G887" s="202"/>
      <c r="H887" s="144"/>
      <c r="J887" s="145"/>
      <c r="K887" s="148"/>
      <c r="L887" s="149"/>
    </row>
    <row r="888" spans="1:12" s="17" customFormat="1" x14ac:dyDescent="0.25">
      <c r="A888" s="229"/>
      <c r="B888" s="55"/>
      <c r="C888" s="55"/>
      <c r="D888" s="55"/>
      <c r="G888" s="202"/>
      <c r="H888" s="144"/>
      <c r="J888" s="145"/>
      <c r="K888" s="148"/>
      <c r="L888" s="149"/>
    </row>
    <row r="889" spans="1:12" s="17" customFormat="1" x14ac:dyDescent="0.25">
      <c r="A889" s="229"/>
      <c r="B889" s="55"/>
      <c r="C889" s="55"/>
      <c r="D889" s="55"/>
      <c r="G889" s="202"/>
      <c r="H889" s="144"/>
      <c r="J889" s="145"/>
      <c r="K889" s="148"/>
      <c r="L889" s="149"/>
    </row>
    <row r="890" spans="1:12" s="17" customFormat="1" x14ac:dyDescent="0.25">
      <c r="A890" s="229"/>
      <c r="B890" s="55"/>
      <c r="C890" s="55"/>
      <c r="D890" s="55"/>
      <c r="G890" s="202"/>
      <c r="H890" s="144"/>
      <c r="J890" s="145"/>
      <c r="K890" s="148"/>
      <c r="L890" s="149"/>
    </row>
    <row r="891" spans="1:12" s="17" customFormat="1" x14ac:dyDescent="0.25">
      <c r="A891" s="229"/>
      <c r="B891" s="55"/>
      <c r="C891" s="55"/>
      <c r="D891" s="55"/>
      <c r="G891" s="202"/>
      <c r="H891" s="144"/>
      <c r="J891" s="145"/>
      <c r="K891" s="148"/>
      <c r="L891" s="149"/>
    </row>
    <row r="892" spans="1:12" s="17" customFormat="1" x14ac:dyDescent="0.25">
      <c r="A892" s="229"/>
      <c r="B892" s="55"/>
      <c r="C892" s="55"/>
      <c r="D892" s="55"/>
      <c r="G892" s="202"/>
      <c r="H892" s="144"/>
      <c r="J892" s="145"/>
      <c r="K892" s="148"/>
      <c r="L892" s="149"/>
    </row>
    <row r="893" spans="1:12" s="17" customFormat="1" x14ac:dyDescent="0.25">
      <c r="A893" s="229"/>
      <c r="B893" s="55"/>
      <c r="C893" s="55"/>
      <c r="D893" s="55"/>
      <c r="G893" s="202"/>
      <c r="H893" s="144"/>
      <c r="J893" s="145"/>
      <c r="K893" s="148"/>
      <c r="L893" s="149"/>
    </row>
    <row r="894" spans="1:12" s="17" customFormat="1" x14ac:dyDescent="0.25">
      <c r="A894" s="229"/>
      <c r="B894" s="55"/>
      <c r="C894" s="55"/>
      <c r="D894" s="55"/>
      <c r="G894" s="202"/>
      <c r="H894" s="144"/>
      <c r="J894" s="145"/>
      <c r="K894" s="148"/>
      <c r="L894" s="149"/>
    </row>
    <row r="895" spans="1:12" s="17" customFormat="1" x14ac:dyDescent="0.25">
      <c r="A895" s="229"/>
      <c r="B895" s="55"/>
      <c r="C895" s="55"/>
      <c r="D895" s="55"/>
      <c r="G895" s="202"/>
      <c r="H895" s="144"/>
      <c r="J895" s="145"/>
      <c r="K895" s="148"/>
      <c r="L895" s="149"/>
    </row>
    <row r="896" spans="1:12" s="17" customFormat="1" x14ac:dyDescent="0.25">
      <c r="A896" s="229"/>
      <c r="B896" s="55"/>
      <c r="C896" s="55"/>
      <c r="D896" s="55"/>
      <c r="G896" s="202"/>
      <c r="H896" s="144"/>
      <c r="J896" s="145"/>
      <c r="K896" s="148"/>
      <c r="L896" s="149"/>
    </row>
    <row r="897" spans="1:12" s="17" customFormat="1" x14ac:dyDescent="0.25">
      <c r="A897" s="229"/>
      <c r="B897" s="55"/>
      <c r="C897" s="55"/>
      <c r="D897" s="55"/>
      <c r="G897" s="202"/>
      <c r="H897" s="144"/>
      <c r="J897" s="145"/>
      <c r="K897" s="148"/>
      <c r="L897" s="149"/>
    </row>
    <row r="898" spans="1:12" s="17" customFormat="1" x14ac:dyDescent="0.25">
      <c r="A898" s="229"/>
      <c r="B898" s="55"/>
      <c r="C898" s="55"/>
      <c r="D898" s="55"/>
      <c r="G898" s="202"/>
      <c r="H898" s="144"/>
      <c r="J898" s="145"/>
      <c r="K898" s="148"/>
      <c r="L898" s="149"/>
    </row>
    <row r="899" spans="1:12" s="17" customFormat="1" x14ac:dyDescent="0.25">
      <c r="A899" s="229"/>
      <c r="B899" s="55"/>
      <c r="C899" s="55"/>
      <c r="D899" s="55"/>
      <c r="G899" s="202"/>
      <c r="H899" s="144"/>
      <c r="J899" s="145"/>
      <c r="K899" s="148"/>
      <c r="L899" s="149"/>
    </row>
    <row r="900" spans="1:12" s="17" customFormat="1" x14ac:dyDescent="0.25">
      <c r="A900" s="229"/>
      <c r="B900" s="55"/>
      <c r="C900" s="55"/>
      <c r="D900" s="55"/>
      <c r="G900" s="202"/>
      <c r="H900" s="144"/>
      <c r="J900" s="145"/>
      <c r="K900" s="148"/>
      <c r="L900" s="149"/>
    </row>
    <row r="901" spans="1:12" s="17" customFormat="1" x14ac:dyDescent="0.25">
      <c r="A901" s="229"/>
      <c r="B901" s="55"/>
      <c r="C901" s="55"/>
      <c r="D901" s="55"/>
      <c r="G901" s="202"/>
      <c r="H901" s="144"/>
      <c r="J901" s="145"/>
      <c r="K901" s="148"/>
      <c r="L901" s="149"/>
    </row>
    <row r="902" spans="1:12" s="17" customFormat="1" x14ac:dyDescent="0.25">
      <c r="A902" s="229"/>
      <c r="B902" s="55"/>
      <c r="C902" s="55"/>
      <c r="D902" s="55"/>
      <c r="G902" s="202"/>
      <c r="H902" s="144"/>
      <c r="J902" s="145"/>
      <c r="K902" s="148"/>
      <c r="L902" s="149"/>
    </row>
    <row r="903" spans="1:12" s="17" customFormat="1" x14ac:dyDescent="0.25">
      <c r="A903" s="229"/>
      <c r="B903" s="55"/>
      <c r="C903" s="55"/>
      <c r="D903" s="55"/>
      <c r="G903" s="202"/>
      <c r="H903" s="144"/>
      <c r="J903" s="145"/>
      <c r="K903" s="148"/>
      <c r="L903" s="149"/>
    </row>
    <row r="904" spans="1:12" s="17" customFormat="1" x14ac:dyDescent="0.25">
      <c r="A904" s="229"/>
      <c r="B904" s="55"/>
      <c r="C904" s="55"/>
      <c r="D904" s="55"/>
      <c r="G904" s="202"/>
      <c r="H904" s="144"/>
      <c r="J904" s="145"/>
      <c r="K904" s="148"/>
      <c r="L904" s="149"/>
    </row>
    <row r="905" spans="1:12" s="17" customFormat="1" x14ac:dyDescent="0.25">
      <c r="A905" s="229"/>
      <c r="B905" s="55"/>
      <c r="C905" s="55"/>
      <c r="D905" s="55"/>
      <c r="G905" s="202"/>
      <c r="H905" s="144"/>
      <c r="J905" s="145"/>
      <c r="K905" s="148"/>
      <c r="L905" s="149"/>
    </row>
    <row r="906" spans="1:12" s="17" customFormat="1" x14ac:dyDescent="0.25">
      <c r="A906" s="229"/>
      <c r="B906" s="55"/>
      <c r="C906" s="55"/>
      <c r="D906" s="55"/>
      <c r="G906" s="202"/>
      <c r="H906" s="144"/>
      <c r="J906" s="145"/>
      <c r="K906" s="148"/>
      <c r="L906" s="149"/>
    </row>
    <row r="907" spans="1:12" s="17" customFormat="1" x14ac:dyDescent="0.25">
      <c r="A907" s="229"/>
      <c r="B907" s="55"/>
      <c r="C907" s="55"/>
      <c r="D907" s="55"/>
      <c r="G907" s="202"/>
      <c r="H907" s="144"/>
      <c r="J907" s="145"/>
      <c r="K907" s="148"/>
      <c r="L907" s="149"/>
    </row>
    <row r="908" spans="1:12" s="17" customFormat="1" x14ac:dyDescent="0.25">
      <c r="A908" s="229"/>
      <c r="B908" s="55"/>
      <c r="C908" s="55"/>
      <c r="D908" s="55"/>
      <c r="G908" s="202"/>
      <c r="H908" s="144"/>
      <c r="J908" s="145"/>
      <c r="K908" s="148"/>
      <c r="L908" s="149"/>
    </row>
    <row r="909" spans="1:12" s="17" customFormat="1" x14ac:dyDescent="0.25">
      <c r="A909" s="229"/>
      <c r="B909" s="55"/>
      <c r="C909" s="55"/>
      <c r="D909" s="55"/>
      <c r="G909" s="202"/>
      <c r="H909" s="144"/>
      <c r="J909" s="145"/>
      <c r="K909" s="148"/>
      <c r="L909" s="149"/>
    </row>
    <row r="910" spans="1:12" s="17" customFormat="1" x14ac:dyDescent="0.25">
      <c r="A910" s="229"/>
      <c r="B910" s="55"/>
      <c r="C910" s="55"/>
      <c r="D910" s="55"/>
      <c r="G910" s="202"/>
      <c r="H910" s="144"/>
      <c r="J910" s="145"/>
      <c r="K910" s="148"/>
      <c r="L910" s="149"/>
    </row>
    <row r="911" spans="1:12" s="17" customFormat="1" x14ac:dyDescent="0.25">
      <c r="A911" s="229"/>
      <c r="B911" s="55"/>
      <c r="C911" s="55"/>
      <c r="D911" s="55"/>
      <c r="G911" s="202"/>
      <c r="H911" s="144"/>
      <c r="J911" s="145"/>
      <c r="K911" s="148"/>
      <c r="L911" s="149"/>
    </row>
    <row r="912" spans="1:12" s="17" customFormat="1" x14ac:dyDescent="0.25">
      <c r="A912" s="229"/>
      <c r="B912" s="55"/>
      <c r="C912" s="55"/>
      <c r="D912" s="55"/>
      <c r="G912" s="202"/>
      <c r="H912" s="144"/>
      <c r="J912" s="145"/>
      <c r="K912" s="148"/>
      <c r="L912" s="149"/>
    </row>
    <row r="913" spans="1:12" s="17" customFormat="1" x14ac:dyDescent="0.25">
      <c r="A913" s="229"/>
      <c r="B913" s="55"/>
      <c r="C913" s="55"/>
      <c r="D913" s="55"/>
      <c r="G913" s="202"/>
      <c r="H913" s="144"/>
      <c r="J913" s="145"/>
      <c r="K913" s="148"/>
      <c r="L913" s="149"/>
    </row>
    <row r="914" spans="1:12" s="17" customFormat="1" x14ac:dyDescent="0.25">
      <c r="A914" s="229"/>
      <c r="B914" s="55"/>
      <c r="C914" s="55"/>
      <c r="D914" s="55"/>
      <c r="G914" s="202"/>
      <c r="H914" s="144"/>
      <c r="J914" s="145"/>
      <c r="K914" s="148"/>
      <c r="L914" s="149"/>
    </row>
    <row r="915" spans="1:12" s="17" customFormat="1" x14ac:dyDescent="0.25">
      <c r="A915" s="229"/>
      <c r="B915" s="55"/>
      <c r="C915" s="55"/>
      <c r="D915" s="55"/>
      <c r="G915" s="202"/>
      <c r="H915" s="144"/>
      <c r="J915" s="145"/>
      <c r="K915" s="148"/>
      <c r="L915" s="149"/>
    </row>
    <row r="916" spans="1:12" s="17" customFormat="1" x14ac:dyDescent="0.25">
      <c r="A916" s="229"/>
      <c r="B916" s="55"/>
      <c r="C916" s="55"/>
      <c r="D916" s="55"/>
      <c r="G916" s="202"/>
      <c r="H916" s="144"/>
      <c r="J916" s="145"/>
      <c r="K916" s="148"/>
      <c r="L916" s="149"/>
    </row>
    <row r="917" spans="1:12" s="17" customFormat="1" x14ac:dyDescent="0.25">
      <c r="A917" s="229"/>
      <c r="B917" s="55"/>
      <c r="C917" s="55"/>
      <c r="D917" s="55"/>
      <c r="G917" s="202"/>
      <c r="H917" s="144"/>
      <c r="J917" s="145"/>
      <c r="K917" s="148"/>
      <c r="L917" s="149"/>
    </row>
    <row r="918" spans="1:12" s="17" customFormat="1" x14ac:dyDescent="0.25">
      <c r="A918" s="229"/>
      <c r="B918" s="55"/>
      <c r="C918" s="55"/>
      <c r="D918" s="55"/>
      <c r="G918" s="202"/>
      <c r="H918" s="144"/>
      <c r="J918" s="145"/>
      <c r="K918" s="148"/>
      <c r="L918" s="149"/>
    </row>
    <row r="919" spans="1:12" s="17" customFormat="1" x14ac:dyDescent="0.25">
      <c r="A919" s="229"/>
      <c r="B919" s="55"/>
      <c r="C919" s="55"/>
      <c r="D919" s="55"/>
      <c r="G919" s="202"/>
      <c r="H919" s="144"/>
      <c r="J919" s="145"/>
      <c r="K919" s="148"/>
      <c r="L919" s="149"/>
    </row>
    <row r="920" spans="1:12" s="17" customFormat="1" x14ac:dyDescent="0.25">
      <c r="A920" s="229"/>
      <c r="B920" s="55"/>
      <c r="C920" s="55"/>
      <c r="D920" s="55"/>
      <c r="G920" s="202"/>
      <c r="H920" s="144"/>
      <c r="J920" s="145"/>
      <c r="K920" s="148"/>
      <c r="L920" s="149"/>
    </row>
    <row r="921" spans="1:12" s="17" customFormat="1" x14ac:dyDescent="0.25">
      <c r="A921" s="229"/>
      <c r="B921" s="55"/>
      <c r="C921" s="55"/>
      <c r="D921" s="55"/>
      <c r="G921" s="202"/>
      <c r="H921" s="144"/>
      <c r="J921" s="145"/>
      <c r="K921" s="148"/>
      <c r="L921" s="149"/>
    </row>
    <row r="922" spans="1:12" s="17" customFormat="1" x14ac:dyDescent="0.25">
      <c r="A922" s="229"/>
      <c r="B922" s="55"/>
      <c r="C922" s="55"/>
      <c r="D922" s="55"/>
      <c r="G922" s="202"/>
      <c r="H922" s="144"/>
      <c r="J922" s="145"/>
      <c r="K922" s="148"/>
      <c r="L922" s="149"/>
    </row>
    <row r="923" spans="1:12" s="17" customFormat="1" x14ac:dyDescent="0.25">
      <c r="A923" s="229"/>
      <c r="B923" s="55"/>
      <c r="C923" s="55"/>
      <c r="D923" s="55"/>
      <c r="G923" s="202"/>
      <c r="H923" s="144"/>
      <c r="J923" s="145"/>
      <c r="K923" s="148"/>
      <c r="L923" s="149"/>
    </row>
    <row r="924" spans="1:12" s="17" customFormat="1" x14ac:dyDescent="0.25">
      <c r="A924" s="229"/>
      <c r="B924" s="55"/>
      <c r="C924" s="55"/>
      <c r="D924" s="55"/>
      <c r="G924" s="202"/>
      <c r="H924" s="144"/>
      <c r="J924" s="145"/>
      <c r="K924" s="148"/>
      <c r="L924" s="149"/>
    </row>
    <row r="925" spans="1:12" s="17" customFormat="1" x14ac:dyDescent="0.25">
      <c r="A925" s="229"/>
      <c r="B925" s="55"/>
      <c r="C925" s="55"/>
      <c r="D925" s="55"/>
      <c r="G925" s="202"/>
      <c r="H925" s="144"/>
      <c r="J925" s="145"/>
      <c r="K925" s="148"/>
      <c r="L925" s="149"/>
    </row>
    <row r="926" spans="1:12" s="17" customFormat="1" x14ac:dyDescent="0.25">
      <c r="A926" s="229"/>
      <c r="B926" s="55"/>
      <c r="C926" s="55"/>
      <c r="D926" s="55"/>
      <c r="G926" s="202"/>
      <c r="H926" s="144"/>
      <c r="J926" s="145"/>
      <c r="K926" s="148"/>
      <c r="L926" s="149"/>
    </row>
    <row r="927" spans="1:12" s="17" customFormat="1" x14ac:dyDescent="0.25">
      <c r="A927" s="229"/>
      <c r="B927" s="55"/>
      <c r="C927" s="55"/>
      <c r="D927" s="55"/>
      <c r="G927" s="202"/>
      <c r="H927" s="144"/>
      <c r="J927" s="145"/>
      <c r="K927" s="148"/>
      <c r="L927" s="149"/>
    </row>
    <row r="928" spans="1:12" s="17" customFormat="1" x14ac:dyDescent="0.25">
      <c r="A928" s="229"/>
      <c r="B928" s="55"/>
      <c r="C928" s="55"/>
      <c r="D928" s="55"/>
      <c r="G928" s="202"/>
      <c r="H928" s="144"/>
      <c r="J928" s="145"/>
      <c r="K928" s="148"/>
      <c r="L928" s="149"/>
    </row>
    <row r="929" spans="1:12" s="17" customFormat="1" x14ac:dyDescent="0.25">
      <c r="A929" s="229"/>
      <c r="B929" s="55"/>
      <c r="C929" s="55"/>
      <c r="D929" s="55"/>
      <c r="G929" s="202"/>
      <c r="H929" s="144"/>
      <c r="J929" s="145"/>
      <c r="K929" s="148"/>
      <c r="L929" s="149"/>
    </row>
    <row r="930" spans="1:12" s="17" customFormat="1" x14ac:dyDescent="0.25">
      <c r="A930" s="229"/>
      <c r="B930" s="55"/>
      <c r="C930" s="55"/>
      <c r="D930" s="55"/>
      <c r="G930" s="202"/>
      <c r="H930" s="144"/>
      <c r="J930" s="145"/>
      <c r="K930" s="148"/>
      <c r="L930" s="149"/>
    </row>
    <row r="931" spans="1:12" s="17" customFormat="1" x14ac:dyDescent="0.25">
      <c r="A931" s="229"/>
      <c r="B931" s="55"/>
      <c r="C931" s="55"/>
      <c r="D931" s="55"/>
      <c r="G931" s="202"/>
      <c r="H931" s="144"/>
      <c r="J931" s="145"/>
      <c r="K931" s="148"/>
      <c r="L931" s="149"/>
    </row>
    <row r="932" spans="1:12" s="17" customFormat="1" x14ac:dyDescent="0.25">
      <c r="A932" s="229"/>
      <c r="B932" s="55"/>
      <c r="C932" s="55"/>
      <c r="D932" s="55"/>
      <c r="G932" s="202"/>
      <c r="H932" s="144"/>
      <c r="J932" s="145"/>
      <c r="K932" s="148"/>
      <c r="L932" s="149"/>
    </row>
    <row r="933" spans="1:12" s="17" customFormat="1" x14ac:dyDescent="0.25">
      <c r="A933" s="229"/>
      <c r="B933" s="55"/>
      <c r="C933" s="55"/>
      <c r="D933" s="55"/>
      <c r="G933" s="202"/>
      <c r="H933" s="144"/>
      <c r="J933" s="145"/>
      <c r="K933" s="148"/>
      <c r="L933" s="149"/>
    </row>
    <row r="934" spans="1:12" s="17" customFormat="1" x14ac:dyDescent="0.25">
      <c r="A934" s="229"/>
      <c r="B934" s="55"/>
      <c r="C934" s="55"/>
      <c r="D934" s="55"/>
      <c r="G934" s="202"/>
      <c r="H934" s="144"/>
      <c r="J934" s="145"/>
      <c r="K934" s="148"/>
      <c r="L934" s="149"/>
    </row>
    <row r="935" spans="1:12" s="17" customFormat="1" x14ac:dyDescent="0.25">
      <c r="A935" s="229"/>
      <c r="B935" s="55"/>
      <c r="C935" s="55"/>
      <c r="D935" s="55"/>
      <c r="G935" s="202"/>
      <c r="H935" s="144"/>
      <c r="J935" s="145"/>
      <c r="K935" s="148"/>
      <c r="L935" s="149"/>
    </row>
    <row r="936" spans="1:12" s="17" customFormat="1" x14ac:dyDescent="0.25">
      <c r="A936" s="229"/>
      <c r="B936" s="55"/>
      <c r="C936" s="55"/>
      <c r="D936" s="55"/>
      <c r="G936" s="202"/>
      <c r="H936" s="144"/>
      <c r="J936" s="145"/>
      <c r="K936" s="148"/>
      <c r="L936" s="149"/>
    </row>
    <row r="937" spans="1:12" s="17" customFormat="1" x14ac:dyDescent="0.25">
      <c r="A937" s="229"/>
      <c r="B937" s="55"/>
      <c r="C937" s="55"/>
      <c r="D937" s="55"/>
      <c r="G937" s="202"/>
      <c r="H937" s="144"/>
      <c r="J937" s="145"/>
      <c r="K937" s="148"/>
      <c r="L937" s="149"/>
    </row>
    <row r="938" spans="1:12" s="17" customFormat="1" x14ac:dyDescent="0.25">
      <c r="A938" s="229"/>
      <c r="B938" s="55"/>
      <c r="C938" s="55"/>
      <c r="D938" s="55"/>
      <c r="G938" s="202"/>
      <c r="H938" s="144"/>
      <c r="J938" s="145"/>
      <c r="K938" s="148"/>
      <c r="L938" s="149"/>
    </row>
    <row r="939" spans="1:12" s="17" customFormat="1" x14ac:dyDescent="0.25">
      <c r="A939" s="229"/>
      <c r="B939" s="55"/>
      <c r="C939" s="55"/>
      <c r="D939" s="55"/>
      <c r="G939" s="202"/>
      <c r="H939" s="144"/>
      <c r="J939" s="145"/>
      <c r="K939" s="148"/>
      <c r="L939" s="149"/>
    </row>
    <row r="940" spans="1:12" s="17" customFormat="1" x14ac:dyDescent="0.25">
      <c r="A940" s="229"/>
      <c r="B940" s="55"/>
      <c r="C940" s="55"/>
      <c r="D940" s="55"/>
      <c r="G940" s="202"/>
      <c r="H940" s="144"/>
      <c r="J940" s="145"/>
      <c r="K940" s="148"/>
      <c r="L940" s="149"/>
    </row>
    <row r="941" spans="1:12" s="17" customFormat="1" x14ac:dyDescent="0.25">
      <c r="A941" s="229"/>
      <c r="B941" s="55"/>
      <c r="C941" s="55"/>
      <c r="D941" s="55"/>
      <c r="G941" s="202"/>
      <c r="H941" s="144"/>
      <c r="J941" s="145"/>
      <c r="K941" s="148"/>
      <c r="L941" s="149"/>
    </row>
    <row r="942" spans="1:12" s="17" customFormat="1" x14ac:dyDescent="0.25">
      <c r="A942" s="229"/>
      <c r="B942" s="55"/>
      <c r="C942" s="55"/>
      <c r="D942" s="55"/>
      <c r="G942" s="202"/>
      <c r="H942" s="144"/>
      <c r="J942" s="145"/>
      <c r="K942" s="148"/>
      <c r="L942" s="149"/>
    </row>
    <row r="943" spans="1:12" s="17" customFormat="1" x14ac:dyDescent="0.25">
      <c r="A943" s="229"/>
      <c r="B943" s="55"/>
      <c r="C943" s="55"/>
      <c r="D943" s="55"/>
      <c r="G943" s="202"/>
      <c r="H943" s="144"/>
      <c r="J943" s="145"/>
      <c r="K943" s="148"/>
      <c r="L943" s="149"/>
    </row>
    <row r="944" spans="1:12" s="17" customFormat="1" x14ac:dyDescent="0.25">
      <c r="A944" s="229"/>
      <c r="B944" s="55"/>
      <c r="C944" s="55"/>
      <c r="D944" s="55"/>
      <c r="G944" s="202"/>
      <c r="H944" s="144"/>
      <c r="J944" s="145"/>
      <c r="K944" s="148"/>
      <c r="L944" s="149"/>
    </row>
    <row r="945" spans="1:12" s="17" customFormat="1" x14ac:dyDescent="0.25">
      <c r="A945" s="229"/>
      <c r="B945" s="55"/>
      <c r="C945" s="55"/>
      <c r="D945" s="55"/>
      <c r="G945" s="202"/>
      <c r="H945" s="144"/>
      <c r="J945" s="145"/>
      <c r="K945" s="148"/>
      <c r="L945" s="149"/>
    </row>
    <row r="946" spans="1:12" s="17" customFormat="1" x14ac:dyDescent="0.25">
      <c r="A946" s="229"/>
      <c r="B946" s="55"/>
      <c r="C946" s="55"/>
      <c r="D946" s="55"/>
      <c r="G946" s="202"/>
      <c r="H946" s="144"/>
      <c r="J946" s="145"/>
      <c r="K946" s="148"/>
      <c r="L946" s="149"/>
    </row>
    <row r="947" spans="1:12" s="17" customFormat="1" x14ac:dyDescent="0.25">
      <c r="A947" s="229"/>
      <c r="B947" s="55"/>
      <c r="C947" s="55"/>
      <c r="D947" s="55"/>
      <c r="G947" s="202"/>
      <c r="H947" s="144"/>
      <c r="J947" s="145"/>
      <c r="K947" s="148"/>
      <c r="L947" s="149"/>
    </row>
    <row r="948" spans="1:12" s="17" customFormat="1" x14ac:dyDescent="0.25">
      <c r="A948" s="229"/>
      <c r="B948" s="55"/>
      <c r="C948" s="55"/>
      <c r="D948" s="55"/>
      <c r="G948" s="202"/>
      <c r="H948" s="144"/>
      <c r="J948" s="145"/>
      <c r="K948" s="148"/>
      <c r="L948" s="149"/>
    </row>
    <row r="949" spans="1:12" s="17" customFormat="1" x14ac:dyDescent="0.25">
      <c r="A949" s="229"/>
      <c r="B949" s="55"/>
      <c r="C949" s="55"/>
      <c r="D949" s="55"/>
      <c r="G949" s="202"/>
      <c r="H949" s="144"/>
      <c r="J949" s="145"/>
      <c r="K949" s="148"/>
      <c r="L949" s="149"/>
    </row>
    <row r="950" spans="1:12" s="17" customFormat="1" x14ac:dyDescent="0.25">
      <c r="A950" s="229"/>
      <c r="B950" s="55"/>
      <c r="C950" s="55"/>
      <c r="D950" s="55"/>
      <c r="G950" s="202"/>
      <c r="H950" s="144"/>
      <c r="J950" s="145"/>
      <c r="K950" s="148"/>
      <c r="L950" s="149"/>
    </row>
    <row r="951" spans="1:12" s="17" customFormat="1" x14ac:dyDescent="0.25">
      <c r="A951" s="229"/>
      <c r="B951" s="55"/>
      <c r="C951" s="55"/>
      <c r="D951" s="55"/>
      <c r="G951" s="202"/>
      <c r="H951" s="144"/>
      <c r="J951" s="145"/>
      <c r="K951" s="148"/>
      <c r="L951" s="149"/>
    </row>
    <row r="952" spans="1:12" s="17" customFormat="1" x14ac:dyDescent="0.25">
      <c r="A952" s="229"/>
      <c r="B952" s="55"/>
      <c r="C952" s="55"/>
      <c r="D952" s="55"/>
      <c r="G952" s="202"/>
      <c r="H952" s="144"/>
      <c r="J952" s="145"/>
      <c r="K952" s="148"/>
      <c r="L952" s="149"/>
    </row>
    <row r="953" spans="1:12" s="17" customFormat="1" x14ac:dyDescent="0.25">
      <c r="A953" s="229"/>
      <c r="B953" s="55"/>
      <c r="C953" s="55"/>
      <c r="D953" s="55"/>
      <c r="G953" s="202"/>
      <c r="H953" s="144"/>
      <c r="J953" s="145"/>
      <c r="K953" s="148"/>
      <c r="L953" s="149"/>
    </row>
    <row r="954" spans="1:12" s="17" customFormat="1" x14ac:dyDescent="0.25">
      <c r="A954" s="229"/>
      <c r="B954" s="55"/>
      <c r="C954" s="55"/>
      <c r="D954" s="55"/>
      <c r="G954" s="202"/>
      <c r="H954" s="144"/>
      <c r="J954" s="145"/>
      <c r="K954" s="148"/>
      <c r="L954" s="149"/>
    </row>
    <row r="955" spans="1:12" s="17" customFormat="1" x14ac:dyDescent="0.25">
      <c r="A955" s="229"/>
      <c r="B955" s="55"/>
      <c r="C955" s="55"/>
      <c r="D955" s="55"/>
      <c r="G955" s="202"/>
      <c r="H955" s="144"/>
      <c r="J955" s="145"/>
      <c r="K955" s="148"/>
      <c r="L955" s="149"/>
    </row>
    <row r="956" spans="1:12" s="17" customFormat="1" x14ac:dyDescent="0.25">
      <c r="A956" s="229"/>
      <c r="B956" s="55"/>
      <c r="C956" s="55"/>
      <c r="D956" s="55"/>
      <c r="G956" s="202"/>
      <c r="H956" s="144"/>
      <c r="J956" s="145"/>
      <c r="K956" s="148"/>
      <c r="L956" s="149"/>
    </row>
    <row r="957" spans="1:12" s="17" customFormat="1" x14ac:dyDescent="0.25">
      <c r="A957" s="229"/>
      <c r="B957" s="55"/>
      <c r="C957" s="55"/>
      <c r="D957" s="55"/>
      <c r="G957" s="202"/>
      <c r="H957" s="144"/>
      <c r="J957" s="145"/>
      <c r="K957" s="148"/>
      <c r="L957" s="149"/>
    </row>
    <row r="958" spans="1:12" s="17" customFormat="1" x14ac:dyDescent="0.25">
      <c r="A958" s="229"/>
      <c r="B958" s="55"/>
      <c r="C958" s="55"/>
      <c r="D958" s="55"/>
      <c r="G958" s="202"/>
      <c r="H958" s="144"/>
      <c r="J958" s="145"/>
      <c r="K958" s="148"/>
      <c r="L958" s="149"/>
    </row>
    <row r="959" spans="1:12" s="17" customFormat="1" x14ac:dyDescent="0.25">
      <c r="A959" s="229"/>
      <c r="B959" s="55"/>
      <c r="C959" s="55"/>
      <c r="D959" s="55"/>
      <c r="G959" s="202"/>
      <c r="H959" s="144"/>
      <c r="J959" s="145"/>
      <c r="K959" s="148"/>
      <c r="L959" s="149"/>
    </row>
    <row r="960" spans="1:12" s="17" customFormat="1" x14ac:dyDescent="0.25">
      <c r="A960" s="229"/>
      <c r="B960" s="55"/>
      <c r="C960" s="55"/>
      <c r="D960" s="55"/>
      <c r="G960" s="202"/>
      <c r="H960" s="144"/>
      <c r="J960" s="145"/>
      <c r="K960" s="148"/>
      <c r="L960" s="149"/>
    </row>
    <row r="961" spans="1:12" s="17" customFormat="1" x14ac:dyDescent="0.25">
      <c r="A961" s="229"/>
      <c r="B961" s="55"/>
      <c r="C961" s="55"/>
      <c r="D961" s="55"/>
      <c r="G961" s="202"/>
      <c r="H961" s="144"/>
      <c r="J961" s="145"/>
      <c r="K961" s="148"/>
      <c r="L961" s="149"/>
    </row>
    <row r="962" spans="1:12" s="17" customFormat="1" x14ac:dyDescent="0.25">
      <c r="A962" s="229"/>
      <c r="B962" s="55"/>
      <c r="C962" s="55"/>
      <c r="D962" s="55"/>
      <c r="G962" s="202"/>
      <c r="H962" s="144"/>
      <c r="J962" s="145"/>
      <c r="K962" s="148"/>
      <c r="L962" s="149"/>
    </row>
    <row r="963" spans="1:12" s="17" customFormat="1" x14ac:dyDescent="0.25">
      <c r="A963" s="229"/>
      <c r="B963" s="55"/>
      <c r="C963" s="55"/>
      <c r="D963" s="55"/>
      <c r="G963" s="202"/>
      <c r="H963" s="144"/>
      <c r="J963" s="145"/>
      <c r="K963" s="148"/>
      <c r="L963" s="149"/>
    </row>
    <row r="964" spans="1:12" s="17" customFormat="1" x14ac:dyDescent="0.25">
      <c r="A964" s="229"/>
      <c r="B964" s="55"/>
      <c r="C964" s="55"/>
      <c r="D964" s="55"/>
      <c r="G964" s="202"/>
      <c r="H964" s="144"/>
      <c r="J964" s="145"/>
      <c r="K964" s="148"/>
      <c r="L964" s="149"/>
    </row>
    <row r="965" spans="1:12" s="17" customFormat="1" x14ac:dyDescent="0.25">
      <c r="A965" s="229"/>
      <c r="B965" s="55"/>
      <c r="C965" s="55"/>
      <c r="D965" s="55"/>
      <c r="G965" s="202"/>
      <c r="H965" s="144"/>
      <c r="J965" s="145"/>
      <c r="K965" s="148"/>
      <c r="L965" s="149"/>
    </row>
    <row r="966" spans="1:12" s="17" customFormat="1" x14ac:dyDescent="0.25">
      <c r="A966" s="229"/>
      <c r="B966" s="55"/>
      <c r="C966" s="55"/>
      <c r="D966" s="55"/>
      <c r="G966" s="202"/>
      <c r="H966" s="144"/>
      <c r="J966" s="145"/>
      <c r="K966" s="148"/>
      <c r="L966" s="149"/>
    </row>
    <row r="967" spans="1:12" s="17" customFormat="1" x14ac:dyDescent="0.25">
      <c r="A967" s="229"/>
      <c r="B967" s="55"/>
      <c r="C967" s="55"/>
      <c r="D967" s="55"/>
      <c r="G967" s="202"/>
      <c r="H967" s="144"/>
      <c r="J967" s="145"/>
      <c r="K967" s="148"/>
      <c r="L967" s="149"/>
    </row>
    <row r="968" spans="1:12" s="17" customFormat="1" x14ac:dyDescent="0.25">
      <c r="A968" s="229"/>
      <c r="B968" s="55"/>
      <c r="C968" s="55"/>
      <c r="D968" s="55"/>
      <c r="G968" s="202"/>
      <c r="H968" s="144"/>
      <c r="J968" s="145"/>
      <c r="K968" s="148"/>
      <c r="L968" s="149"/>
    </row>
    <row r="969" spans="1:12" s="17" customFormat="1" x14ac:dyDescent="0.25">
      <c r="A969" s="229"/>
      <c r="B969" s="55"/>
      <c r="C969" s="55"/>
      <c r="D969" s="55"/>
      <c r="G969" s="202"/>
      <c r="H969" s="144"/>
      <c r="J969" s="145"/>
      <c r="K969" s="148"/>
      <c r="L969" s="149"/>
    </row>
    <row r="970" spans="1:12" s="17" customFormat="1" x14ac:dyDescent="0.25">
      <c r="A970" s="229"/>
      <c r="B970" s="55"/>
      <c r="C970" s="55"/>
      <c r="D970" s="55"/>
      <c r="G970" s="202"/>
      <c r="H970" s="144"/>
      <c r="J970" s="145"/>
      <c r="K970" s="148"/>
      <c r="L970" s="149"/>
    </row>
    <row r="971" spans="1:12" s="17" customFormat="1" x14ac:dyDescent="0.25">
      <c r="A971" s="229"/>
      <c r="B971" s="55"/>
      <c r="C971" s="55"/>
      <c r="D971" s="55"/>
      <c r="G971" s="202"/>
      <c r="H971" s="144"/>
      <c r="J971" s="145"/>
      <c r="K971" s="148"/>
      <c r="L971" s="149"/>
    </row>
    <row r="972" spans="1:12" s="17" customFormat="1" x14ac:dyDescent="0.25">
      <c r="A972" s="229"/>
      <c r="B972" s="55"/>
      <c r="C972" s="55"/>
      <c r="D972" s="55"/>
      <c r="G972" s="202"/>
      <c r="H972" s="144"/>
      <c r="J972" s="145"/>
      <c r="K972" s="148"/>
      <c r="L972" s="149"/>
    </row>
    <row r="973" spans="1:12" s="17" customFormat="1" x14ac:dyDescent="0.25">
      <c r="A973" s="229"/>
      <c r="B973" s="55"/>
      <c r="C973" s="55"/>
      <c r="D973" s="55"/>
      <c r="G973" s="202"/>
      <c r="H973" s="144"/>
      <c r="J973" s="145"/>
      <c r="K973" s="148"/>
      <c r="L973" s="149"/>
    </row>
    <row r="974" spans="1:12" s="17" customFormat="1" x14ac:dyDescent="0.25">
      <c r="A974" s="229"/>
      <c r="B974" s="55"/>
      <c r="C974" s="55"/>
      <c r="D974" s="55"/>
      <c r="G974" s="202"/>
      <c r="H974" s="144"/>
      <c r="J974" s="145"/>
      <c r="K974" s="148"/>
      <c r="L974" s="149"/>
    </row>
    <row r="975" spans="1:12" s="17" customFormat="1" x14ac:dyDescent="0.25">
      <c r="A975" s="229"/>
      <c r="B975" s="55"/>
      <c r="C975" s="55"/>
      <c r="D975" s="55"/>
      <c r="G975" s="202"/>
      <c r="H975" s="144"/>
      <c r="J975" s="145"/>
      <c r="K975" s="148"/>
      <c r="L975" s="149"/>
    </row>
    <row r="976" spans="1:12" s="17" customFormat="1" x14ac:dyDescent="0.25">
      <c r="A976" s="229"/>
      <c r="B976" s="55"/>
      <c r="C976" s="55"/>
      <c r="D976" s="55"/>
      <c r="G976" s="202"/>
      <c r="H976" s="144"/>
      <c r="J976" s="145"/>
      <c r="K976" s="148"/>
      <c r="L976" s="149"/>
    </row>
    <row r="977" spans="1:12" s="17" customFormat="1" x14ac:dyDescent="0.25">
      <c r="A977" s="229"/>
      <c r="B977" s="55"/>
      <c r="C977" s="55"/>
      <c r="D977" s="55"/>
      <c r="G977" s="202"/>
      <c r="H977" s="144"/>
      <c r="J977" s="145"/>
      <c r="K977" s="148"/>
      <c r="L977" s="149"/>
    </row>
    <row r="978" spans="1:12" s="17" customFormat="1" x14ac:dyDescent="0.25">
      <c r="A978" s="229"/>
      <c r="B978" s="55"/>
      <c r="C978" s="55"/>
      <c r="D978" s="55"/>
      <c r="G978" s="202"/>
      <c r="H978" s="144"/>
      <c r="J978" s="145"/>
      <c r="K978" s="148"/>
      <c r="L978" s="149"/>
    </row>
    <row r="979" spans="1:12" s="17" customFormat="1" x14ac:dyDescent="0.25">
      <c r="A979" s="229"/>
      <c r="B979" s="55"/>
      <c r="C979" s="55"/>
      <c r="D979" s="55"/>
      <c r="G979" s="202"/>
      <c r="H979" s="144"/>
      <c r="J979" s="145"/>
      <c r="K979" s="148"/>
      <c r="L979" s="149"/>
    </row>
    <row r="980" spans="1:12" s="17" customFormat="1" x14ac:dyDescent="0.25">
      <c r="A980" s="229"/>
      <c r="B980" s="55"/>
      <c r="C980" s="55"/>
      <c r="D980" s="55"/>
      <c r="G980" s="202"/>
      <c r="H980" s="144"/>
      <c r="J980" s="145"/>
      <c r="K980" s="148"/>
      <c r="L980" s="149"/>
    </row>
    <row r="981" spans="1:12" s="17" customFormat="1" x14ac:dyDescent="0.25">
      <c r="A981" s="229"/>
      <c r="B981" s="55"/>
      <c r="C981" s="55"/>
      <c r="D981" s="55"/>
      <c r="G981" s="202"/>
      <c r="H981" s="144"/>
      <c r="J981" s="145"/>
      <c r="K981" s="148"/>
      <c r="L981" s="149"/>
    </row>
    <row r="982" spans="1:12" s="17" customFormat="1" x14ac:dyDescent="0.25">
      <c r="A982" s="229"/>
      <c r="B982" s="55"/>
      <c r="C982" s="55"/>
      <c r="D982" s="55"/>
      <c r="G982" s="202"/>
      <c r="H982" s="144"/>
      <c r="J982" s="145"/>
      <c r="K982" s="148"/>
      <c r="L982" s="149"/>
    </row>
    <row r="983" spans="1:12" s="17" customFormat="1" x14ac:dyDescent="0.25">
      <c r="A983" s="229"/>
      <c r="B983" s="55"/>
      <c r="C983" s="55"/>
      <c r="D983" s="55"/>
      <c r="G983" s="202"/>
      <c r="H983" s="144"/>
      <c r="J983" s="145"/>
      <c r="K983" s="148"/>
      <c r="L983" s="149"/>
    </row>
    <row r="984" spans="1:12" s="17" customFormat="1" x14ac:dyDescent="0.25">
      <c r="A984" s="229"/>
      <c r="B984" s="55"/>
      <c r="C984" s="55"/>
      <c r="D984" s="55"/>
      <c r="G984" s="202"/>
      <c r="H984" s="144"/>
      <c r="J984" s="145"/>
      <c r="K984" s="148"/>
      <c r="L984" s="149"/>
    </row>
    <row r="985" spans="1:12" s="17" customFormat="1" x14ac:dyDescent="0.25">
      <c r="A985" s="229"/>
      <c r="B985" s="55"/>
      <c r="C985" s="55"/>
      <c r="D985" s="55"/>
      <c r="G985" s="202"/>
      <c r="H985" s="144"/>
      <c r="J985" s="145"/>
      <c r="K985" s="148"/>
      <c r="L985" s="149"/>
    </row>
    <row r="986" spans="1:12" s="17" customFormat="1" x14ac:dyDescent="0.25">
      <c r="A986" s="229"/>
      <c r="B986" s="55"/>
      <c r="C986" s="55"/>
      <c r="D986" s="55"/>
      <c r="G986" s="202"/>
      <c r="H986" s="144"/>
      <c r="J986" s="145"/>
      <c r="K986" s="148"/>
      <c r="L986" s="149"/>
    </row>
    <row r="987" spans="1:12" s="17" customFormat="1" x14ac:dyDescent="0.25">
      <c r="A987" s="229"/>
      <c r="B987" s="55"/>
      <c r="C987" s="55"/>
      <c r="D987" s="55"/>
      <c r="G987" s="202"/>
      <c r="H987" s="144"/>
      <c r="J987" s="145"/>
      <c r="K987" s="148"/>
      <c r="L987" s="149"/>
    </row>
    <row r="988" spans="1:12" s="17" customFormat="1" x14ac:dyDescent="0.25">
      <c r="A988" s="229"/>
      <c r="B988" s="55"/>
      <c r="C988" s="55"/>
      <c r="D988" s="55"/>
      <c r="G988" s="202"/>
      <c r="H988" s="144"/>
      <c r="J988" s="145"/>
      <c r="K988" s="148"/>
      <c r="L988" s="149"/>
    </row>
    <row r="989" spans="1:12" s="17" customFormat="1" x14ac:dyDescent="0.25">
      <c r="A989" s="229"/>
      <c r="B989" s="55"/>
      <c r="C989" s="55"/>
      <c r="D989" s="55"/>
      <c r="G989" s="202"/>
      <c r="H989" s="144"/>
      <c r="J989" s="145"/>
      <c r="K989" s="148"/>
      <c r="L989" s="149"/>
    </row>
    <row r="990" spans="1:12" s="17" customFormat="1" x14ac:dyDescent="0.25">
      <c r="A990" s="229"/>
      <c r="B990" s="55"/>
      <c r="C990" s="55"/>
      <c r="D990" s="55"/>
      <c r="G990" s="202"/>
      <c r="H990" s="144"/>
      <c r="J990" s="145"/>
      <c r="K990" s="148"/>
      <c r="L990" s="149"/>
    </row>
    <row r="991" spans="1:12" s="17" customFormat="1" x14ac:dyDescent="0.25">
      <c r="A991" s="229"/>
      <c r="B991" s="55"/>
      <c r="C991" s="55"/>
      <c r="D991" s="55"/>
      <c r="G991" s="202"/>
      <c r="H991" s="144"/>
      <c r="J991" s="145"/>
      <c r="K991" s="148"/>
      <c r="L991" s="149"/>
    </row>
    <row r="992" spans="1:12" s="17" customFormat="1" x14ac:dyDescent="0.25">
      <c r="A992" s="229"/>
      <c r="B992" s="55"/>
      <c r="C992" s="55"/>
      <c r="D992" s="55"/>
      <c r="G992" s="202"/>
      <c r="H992" s="144"/>
      <c r="J992" s="145"/>
      <c r="K992" s="148"/>
      <c r="L992" s="149"/>
    </row>
    <row r="993" spans="1:12" s="17" customFormat="1" x14ac:dyDescent="0.25">
      <c r="A993" s="229"/>
      <c r="B993" s="55"/>
      <c r="C993" s="55"/>
      <c r="D993" s="55"/>
      <c r="G993" s="202"/>
      <c r="H993" s="144"/>
      <c r="J993" s="145"/>
      <c r="K993" s="148"/>
      <c r="L993" s="149"/>
    </row>
    <row r="994" spans="1:12" s="17" customFormat="1" x14ac:dyDescent="0.25">
      <c r="A994" s="229"/>
      <c r="B994" s="55"/>
      <c r="C994" s="55"/>
      <c r="D994" s="55"/>
      <c r="G994" s="202"/>
      <c r="H994" s="144"/>
      <c r="J994" s="145"/>
      <c r="K994" s="148"/>
      <c r="L994" s="149"/>
    </row>
    <row r="995" spans="1:12" s="17" customFormat="1" x14ac:dyDescent="0.25">
      <c r="A995" s="229"/>
      <c r="B995" s="55"/>
      <c r="C995" s="55"/>
      <c r="D995" s="55"/>
      <c r="G995" s="202"/>
      <c r="H995" s="144"/>
      <c r="J995" s="145"/>
      <c r="K995" s="148"/>
      <c r="L995" s="149"/>
    </row>
    <row r="996" spans="1:12" s="17" customFormat="1" x14ac:dyDescent="0.25">
      <c r="A996" s="229"/>
      <c r="B996" s="55"/>
      <c r="C996" s="55"/>
      <c r="D996" s="55"/>
      <c r="G996" s="202"/>
      <c r="H996" s="144"/>
      <c r="J996" s="145"/>
      <c r="K996" s="148"/>
      <c r="L996" s="149"/>
    </row>
    <row r="997" spans="1:12" s="17" customFormat="1" x14ac:dyDescent="0.25">
      <c r="A997" s="229"/>
      <c r="B997" s="55"/>
      <c r="C997" s="55"/>
      <c r="D997" s="55"/>
      <c r="G997" s="202"/>
      <c r="H997" s="144"/>
      <c r="J997" s="145"/>
      <c r="K997" s="148"/>
      <c r="L997" s="149"/>
    </row>
    <row r="998" spans="1:12" s="17" customFormat="1" x14ac:dyDescent="0.25">
      <c r="A998" s="229"/>
      <c r="B998" s="55"/>
      <c r="C998" s="55"/>
      <c r="D998" s="55"/>
      <c r="G998" s="202"/>
      <c r="H998" s="144"/>
      <c r="J998" s="145"/>
      <c r="K998" s="148"/>
      <c r="L998" s="149"/>
    </row>
    <row r="999" spans="1:12" s="17" customFormat="1" x14ac:dyDescent="0.25">
      <c r="A999" s="229"/>
      <c r="B999" s="55"/>
      <c r="C999" s="55"/>
      <c r="D999" s="55"/>
      <c r="G999" s="202"/>
      <c r="H999" s="144"/>
      <c r="J999" s="145"/>
      <c r="K999" s="148"/>
      <c r="L999" s="149"/>
    </row>
    <row r="1000" spans="1:12" s="17" customFormat="1" x14ac:dyDescent="0.25">
      <c r="A1000" s="229"/>
      <c r="B1000" s="55"/>
      <c r="C1000" s="55"/>
      <c r="D1000" s="55"/>
      <c r="G1000" s="202"/>
      <c r="H1000" s="144"/>
      <c r="J1000" s="145"/>
      <c r="K1000" s="148"/>
      <c r="L1000" s="149"/>
    </row>
    <row r="1001" spans="1:12" s="17" customFormat="1" x14ac:dyDescent="0.25">
      <c r="A1001" s="229"/>
      <c r="B1001" s="55"/>
      <c r="C1001" s="55"/>
      <c r="D1001" s="55"/>
      <c r="G1001" s="202"/>
      <c r="H1001" s="144"/>
      <c r="J1001" s="145"/>
      <c r="K1001" s="148"/>
      <c r="L1001" s="149"/>
    </row>
    <row r="1002" spans="1:12" s="17" customFormat="1" x14ac:dyDescent="0.25">
      <c r="A1002" s="229"/>
      <c r="B1002" s="55"/>
      <c r="C1002" s="55"/>
      <c r="D1002" s="55"/>
      <c r="G1002" s="202"/>
      <c r="H1002" s="144"/>
      <c r="J1002" s="145"/>
      <c r="K1002" s="148"/>
      <c r="L1002" s="149"/>
    </row>
    <row r="1003" spans="1:12" s="17" customFormat="1" x14ac:dyDescent="0.25">
      <c r="A1003" s="229"/>
      <c r="B1003" s="55"/>
      <c r="C1003" s="55"/>
      <c r="D1003" s="55"/>
      <c r="G1003" s="202"/>
      <c r="H1003" s="144"/>
      <c r="J1003" s="145"/>
      <c r="K1003" s="148"/>
      <c r="L1003" s="149"/>
    </row>
    <row r="1004" spans="1:12" s="17" customFormat="1" x14ac:dyDescent="0.25">
      <c r="A1004" s="229"/>
      <c r="B1004" s="55"/>
      <c r="C1004" s="55"/>
      <c r="D1004" s="55"/>
      <c r="G1004" s="202"/>
      <c r="H1004" s="144"/>
      <c r="J1004" s="145"/>
      <c r="K1004" s="148"/>
      <c r="L1004" s="149"/>
    </row>
    <row r="1005" spans="1:12" s="17" customFormat="1" x14ac:dyDescent="0.25">
      <c r="A1005" s="229"/>
      <c r="B1005" s="55"/>
      <c r="C1005" s="55"/>
      <c r="D1005" s="55"/>
      <c r="G1005" s="202"/>
      <c r="H1005" s="144"/>
      <c r="J1005" s="145"/>
      <c r="K1005" s="148"/>
      <c r="L1005" s="149"/>
    </row>
    <row r="1006" spans="1:12" s="17" customFormat="1" x14ac:dyDescent="0.25">
      <c r="A1006" s="229"/>
      <c r="B1006" s="55"/>
      <c r="C1006" s="55"/>
      <c r="D1006" s="55"/>
      <c r="G1006" s="202"/>
      <c r="H1006" s="144"/>
      <c r="J1006" s="145"/>
      <c r="K1006" s="148"/>
      <c r="L1006" s="149"/>
    </row>
    <row r="1007" spans="1:12" s="17" customFormat="1" x14ac:dyDescent="0.25">
      <c r="A1007" s="229"/>
      <c r="B1007" s="55"/>
      <c r="C1007" s="55"/>
      <c r="D1007" s="55"/>
      <c r="G1007" s="202"/>
      <c r="H1007" s="144"/>
      <c r="J1007" s="145"/>
      <c r="K1007" s="148"/>
      <c r="L1007" s="149"/>
    </row>
    <row r="1008" spans="1:12" s="17" customFormat="1" x14ac:dyDescent="0.25">
      <c r="A1008" s="229"/>
      <c r="B1008" s="55"/>
      <c r="C1008" s="55"/>
      <c r="D1008" s="55"/>
      <c r="G1008" s="202"/>
      <c r="H1008" s="144"/>
      <c r="J1008" s="145"/>
      <c r="K1008" s="148"/>
      <c r="L1008" s="149"/>
    </row>
    <row r="1009" spans="1:12" s="17" customFormat="1" x14ac:dyDescent="0.25">
      <c r="A1009" s="229"/>
      <c r="B1009" s="55"/>
      <c r="C1009" s="55"/>
      <c r="D1009" s="55"/>
      <c r="G1009" s="202"/>
      <c r="H1009" s="144"/>
      <c r="J1009" s="145"/>
      <c r="K1009" s="148"/>
      <c r="L1009" s="149"/>
    </row>
    <row r="1010" spans="1:12" s="17" customFormat="1" x14ac:dyDescent="0.25">
      <c r="A1010" s="229"/>
      <c r="B1010" s="55"/>
      <c r="C1010" s="55"/>
      <c r="D1010" s="55"/>
      <c r="G1010" s="202"/>
      <c r="H1010" s="144"/>
      <c r="J1010" s="145"/>
      <c r="K1010" s="148"/>
      <c r="L1010" s="149"/>
    </row>
    <row r="1011" spans="1:12" s="17" customFormat="1" x14ac:dyDescent="0.25">
      <c r="A1011" s="229"/>
      <c r="B1011" s="55"/>
      <c r="C1011" s="55"/>
      <c r="D1011" s="55"/>
      <c r="G1011" s="202"/>
      <c r="H1011" s="144"/>
      <c r="J1011" s="145"/>
      <c r="K1011" s="148"/>
      <c r="L1011" s="149"/>
    </row>
    <row r="1012" spans="1:12" s="17" customFormat="1" x14ac:dyDescent="0.25">
      <c r="A1012" s="229"/>
      <c r="B1012" s="55"/>
      <c r="C1012" s="55"/>
      <c r="D1012" s="55"/>
      <c r="G1012" s="202"/>
      <c r="H1012" s="144"/>
      <c r="J1012" s="145"/>
      <c r="K1012" s="148"/>
      <c r="L1012" s="149"/>
    </row>
    <row r="1013" spans="1:12" s="17" customFormat="1" x14ac:dyDescent="0.25">
      <c r="A1013" s="229"/>
      <c r="B1013" s="55"/>
      <c r="C1013" s="55"/>
      <c r="D1013" s="55"/>
      <c r="G1013" s="202"/>
      <c r="H1013" s="144"/>
      <c r="J1013" s="145"/>
      <c r="K1013" s="148"/>
      <c r="L1013" s="149"/>
    </row>
    <row r="1014" spans="1:12" s="17" customFormat="1" x14ac:dyDescent="0.25">
      <c r="A1014" s="229"/>
      <c r="B1014" s="55"/>
      <c r="C1014" s="55"/>
      <c r="D1014" s="55"/>
      <c r="G1014" s="202"/>
      <c r="H1014" s="144"/>
      <c r="J1014" s="145"/>
      <c r="K1014" s="148"/>
      <c r="L1014" s="149"/>
    </row>
    <row r="1015" spans="1:12" s="17" customFormat="1" x14ac:dyDescent="0.25">
      <c r="A1015" s="229"/>
      <c r="B1015" s="55"/>
      <c r="C1015" s="55"/>
      <c r="D1015" s="55"/>
      <c r="G1015" s="202"/>
      <c r="H1015" s="144"/>
      <c r="J1015" s="145"/>
      <c r="K1015" s="148"/>
      <c r="L1015" s="149"/>
    </row>
    <row r="1016" spans="1:12" s="17" customFormat="1" x14ac:dyDescent="0.25">
      <c r="A1016" s="229"/>
      <c r="B1016" s="55"/>
      <c r="C1016" s="55"/>
      <c r="D1016" s="55"/>
      <c r="G1016" s="202"/>
      <c r="H1016" s="144"/>
      <c r="J1016" s="145"/>
      <c r="K1016" s="148"/>
      <c r="L1016" s="149"/>
    </row>
    <row r="1017" spans="1:12" s="17" customFormat="1" x14ac:dyDescent="0.25">
      <c r="A1017" s="229"/>
      <c r="B1017" s="55"/>
      <c r="C1017" s="55"/>
      <c r="D1017" s="55"/>
      <c r="G1017" s="202"/>
      <c r="H1017" s="144"/>
      <c r="J1017" s="145"/>
      <c r="K1017" s="148"/>
      <c r="L1017" s="149"/>
    </row>
    <row r="1018" spans="1:12" s="17" customFormat="1" x14ac:dyDescent="0.25">
      <c r="A1018" s="229"/>
      <c r="B1018" s="55"/>
      <c r="C1018" s="55"/>
      <c r="D1018" s="55"/>
      <c r="G1018" s="202"/>
      <c r="H1018" s="144"/>
      <c r="J1018" s="145"/>
      <c r="K1018" s="148"/>
      <c r="L1018" s="149"/>
    </row>
    <row r="1019" spans="1:12" s="17" customFormat="1" x14ac:dyDescent="0.25">
      <c r="A1019" s="229"/>
      <c r="B1019" s="55"/>
      <c r="C1019" s="55"/>
      <c r="D1019" s="55"/>
      <c r="G1019" s="202"/>
      <c r="H1019" s="144"/>
      <c r="J1019" s="145"/>
      <c r="K1019" s="148"/>
      <c r="L1019" s="149"/>
    </row>
    <row r="1020" spans="1:12" s="17" customFormat="1" x14ac:dyDescent="0.25">
      <c r="A1020" s="229"/>
      <c r="B1020" s="55"/>
      <c r="C1020" s="55"/>
      <c r="D1020" s="55"/>
      <c r="G1020" s="202"/>
      <c r="H1020" s="144"/>
      <c r="J1020" s="145"/>
      <c r="K1020" s="148"/>
      <c r="L1020" s="149"/>
    </row>
    <row r="1021" spans="1:12" s="17" customFormat="1" x14ac:dyDescent="0.25">
      <c r="A1021" s="229"/>
      <c r="B1021" s="55"/>
      <c r="C1021" s="55"/>
      <c r="D1021" s="55"/>
      <c r="G1021" s="202"/>
      <c r="H1021" s="144"/>
      <c r="J1021" s="145"/>
      <c r="K1021" s="148"/>
      <c r="L1021" s="149"/>
    </row>
    <row r="1022" spans="1:12" s="17" customFormat="1" x14ac:dyDescent="0.25">
      <c r="A1022" s="229"/>
      <c r="B1022" s="55"/>
      <c r="C1022" s="55"/>
      <c r="D1022" s="55"/>
      <c r="G1022" s="202"/>
      <c r="H1022" s="144"/>
      <c r="J1022" s="145"/>
      <c r="K1022" s="148"/>
      <c r="L1022" s="149"/>
    </row>
    <row r="1023" spans="1:12" s="17" customFormat="1" x14ac:dyDescent="0.25">
      <c r="A1023" s="229"/>
      <c r="B1023" s="55"/>
      <c r="C1023" s="55"/>
      <c r="D1023" s="55"/>
      <c r="G1023" s="202"/>
      <c r="H1023" s="144"/>
      <c r="J1023" s="145"/>
      <c r="K1023" s="148"/>
      <c r="L1023" s="149"/>
    </row>
    <row r="1024" spans="1:12" s="17" customFormat="1" x14ac:dyDescent="0.25">
      <c r="A1024" s="229"/>
      <c r="B1024" s="55"/>
      <c r="C1024" s="55"/>
      <c r="D1024" s="55"/>
      <c r="G1024" s="202"/>
      <c r="H1024" s="144"/>
      <c r="J1024" s="145"/>
      <c r="K1024" s="148"/>
      <c r="L1024" s="149"/>
    </row>
    <row r="1025" spans="1:12" s="17" customFormat="1" x14ac:dyDescent="0.25">
      <c r="A1025" s="229"/>
      <c r="B1025" s="55"/>
      <c r="C1025" s="55"/>
      <c r="D1025" s="55"/>
      <c r="G1025" s="202"/>
      <c r="H1025" s="144"/>
      <c r="J1025" s="145"/>
      <c r="K1025" s="148"/>
      <c r="L1025" s="149"/>
    </row>
    <row r="1026" spans="1:12" s="17" customFormat="1" x14ac:dyDescent="0.25">
      <c r="A1026" s="229"/>
      <c r="B1026" s="55"/>
      <c r="C1026" s="55"/>
      <c r="D1026" s="55"/>
      <c r="G1026" s="202"/>
      <c r="H1026" s="144"/>
      <c r="J1026" s="145"/>
      <c r="K1026" s="148"/>
      <c r="L1026" s="149"/>
    </row>
    <row r="1027" spans="1:12" s="17" customFormat="1" x14ac:dyDescent="0.25">
      <c r="A1027" s="229"/>
      <c r="B1027" s="55"/>
      <c r="C1027" s="55"/>
      <c r="D1027" s="55"/>
      <c r="G1027" s="202"/>
      <c r="H1027" s="144"/>
      <c r="J1027" s="145"/>
      <c r="K1027" s="148"/>
      <c r="L1027" s="149"/>
    </row>
    <row r="1028" spans="1:12" s="17" customFormat="1" x14ac:dyDescent="0.25">
      <c r="A1028" s="229"/>
      <c r="B1028" s="55"/>
      <c r="C1028" s="55"/>
      <c r="D1028" s="55"/>
      <c r="G1028" s="202"/>
      <c r="H1028" s="144"/>
      <c r="J1028" s="145"/>
      <c r="K1028" s="148"/>
      <c r="L1028" s="149"/>
    </row>
    <row r="1029" spans="1:12" s="17" customFormat="1" x14ac:dyDescent="0.25">
      <c r="A1029" s="229"/>
      <c r="B1029" s="55"/>
      <c r="C1029" s="55"/>
      <c r="D1029" s="55"/>
      <c r="G1029" s="202"/>
      <c r="H1029" s="144"/>
      <c r="J1029" s="145"/>
      <c r="K1029" s="148"/>
      <c r="L1029" s="149"/>
    </row>
    <row r="1030" spans="1:12" s="17" customFormat="1" x14ac:dyDescent="0.25">
      <c r="A1030" s="229"/>
      <c r="B1030" s="55"/>
      <c r="C1030" s="55"/>
      <c r="D1030" s="55"/>
      <c r="G1030" s="202"/>
      <c r="H1030" s="144"/>
      <c r="J1030" s="145"/>
      <c r="K1030" s="148"/>
      <c r="L1030" s="149"/>
    </row>
    <row r="1031" spans="1:12" s="17" customFormat="1" x14ac:dyDescent="0.25">
      <c r="A1031" s="229"/>
      <c r="B1031" s="55"/>
      <c r="C1031" s="55"/>
      <c r="D1031" s="55"/>
      <c r="G1031" s="202"/>
      <c r="H1031" s="144"/>
      <c r="J1031" s="145"/>
      <c r="K1031" s="148"/>
      <c r="L1031" s="149"/>
    </row>
    <row r="1032" spans="1:12" s="17" customFormat="1" x14ac:dyDescent="0.25">
      <c r="A1032" s="229"/>
      <c r="B1032" s="55"/>
      <c r="C1032" s="55"/>
      <c r="D1032" s="55"/>
      <c r="G1032" s="202"/>
      <c r="H1032" s="144"/>
      <c r="J1032" s="145"/>
      <c r="K1032" s="148"/>
      <c r="L1032" s="149"/>
    </row>
    <row r="1033" spans="1:12" s="17" customFormat="1" x14ac:dyDescent="0.25">
      <c r="A1033" s="229"/>
      <c r="B1033" s="55"/>
      <c r="C1033" s="55"/>
      <c r="D1033" s="55"/>
      <c r="G1033" s="202"/>
      <c r="H1033" s="144"/>
      <c r="J1033" s="145"/>
      <c r="K1033" s="148"/>
      <c r="L1033" s="149"/>
    </row>
    <row r="1034" spans="1:12" s="17" customFormat="1" x14ac:dyDescent="0.25">
      <c r="A1034" s="229"/>
      <c r="B1034" s="55"/>
      <c r="C1034" s="55"/>
      <c r="D1034" s="55"/>
      <c r="G1034" s="202"/>
      <c r="H1034" s="144"/>
      <c r="J1034" s="145"/>
      <c r="K1034" s="148"/>
      <c r="L1034" s="149"/>
    </row>
    <row r="1035" spans="1:12" s="17" customFormat="1" x14ac:dyDescent="0.25">
      <c r="A1035" s="229"/>
      <c r="B1035" s="55"/>
      <c r="C1035" s="55"/>
      <c r="D1035" s="55"/>
      <c r="G1035" s="202"/>
      <c r="H1035" s="144"/>
      <c r="J1035" s="145"/>
      <c r="K1035" s="148"/>
      <c r="L1035" s="149"/>
    </row>
    <row r="1036" spans="1:12" s="17" customFormat="1" x14ac:dyDescent="0.25">
      <c r="A1036" s="229"/>
      <c r="B1036" s="55"/>
      <c r="C1036" s="55"/>
      <c r="D1036" s="55"/>
      <c r="G1036" s="202"/>
      <c r="H1036" s="144"/>
      <c r="J1036" s="145"/>
      <c r="K1036" s="148"/>
      <c r="L1036" s="149"/>
    </row>
    <row r="1037" spans="1:12" s="17" customFormat="1" x14ac:dyDescent="0.25">
      <c r="A1037" s="229"/>
      <c r="B1037" s="55"/>
      <c r="C1037" s="55"/>
      <c r="D1037" s="55"/>
      <c r="G1037" s="202"/>
      <c r="H1037" s="144"/>
      <c r="J1037" s="145"/>
      <c r="K1037" s="148"/>
      <c r="L1037" s="149"/>
    </row>
    <row r="1038" spans="1:12" s="17" customFormat="1" x14ac:dyDescent="0.25">
      <c r="A1038" s="229"/>
      <c r="B1038" s="55"/>
      <c r="C1038" s="55"/>
      <c r="D1038" s="55"/>
      <c r="G1038" s="202"/>
      <c r="H1038" s="144"/>
      <c r="J1038" s="145"/>
      <c r="K1038" s="148"/>
      <c r="L1038" s="149"/>
    </row>
    <row r="1039" spans="1:12" s="17" customFormat="1" x14ac:dyDescent="0.25">
      <c r="A1039" s="229"/>
      <c r="B1039" s="55"/>
      <c r="C1039" s="55"/>
      <c r="D1039" s="55"/>
      <c r="G1039" s="202"/>
      <c r="H1039" s="144"/>
      <c r="J1039" s="145"/>
      <c r="K1039" s="148"/>
      <c r="L1039" s="149"/>
    </row>
    <row r="1040" spans="1:12" s="17" customFormat="1" x14ac:dyDescent="0.25">
      <c r="A1040" s="229"/>
      <c r="B1040" s="55"/>
      <c r="C1040" s="55"/>
      <c r="D1040" s="55"/>
      <c r="G1040" s="202"/>
      <c r="H1040" s="144"/>
      <c r="J1040" s="145"/>
      <c r="K1040" s="148"/>
      <c r="L1040" s="149"/>
    </row>
    <row r="1041" spans="1:12" s="17" customFormat="1" x14ac:dyDescent="0.25">
      <c r="A1041" s="229"/>
      <c r="B1041" s="55"/>
      <c r="C1041" s="55"/>
      <c r="D1041" s="55"/>
      <c r="G1041" s="202"/>
      <c r="H1041" s="144"/>
      <c r="J1041" s="145"/>
      <c r="K1041" s="148"/>
      <c r="L1041" s="149"/>
    </row>
    <row r="1042" spans="1:12" s="17" customFormat="1" x14ac:dyDescent="0.25">
      <c r="A1042" s="229"/>
      <c r="B1042" s="55"/>
      <c r="C1042" s="55"/>
      <c r="D1042" s="55"/>
      <c r="G1042" s="202"/>
      <c r="H1042" s="144"/>
      <c r="J1042" s="145"/>
      <c r="K1042" s="148"/>
      <c r="L1042" s="149"/>
    </row>
    <row r="1043" spans="1:12" s="17" customFormat="1" x14ac:dyDescent="0.25">
      <c r="A1043" s="229"/>
      <c r="B1043" s="55"/>
      <c r="C1043" s="55"/>
      <c r="D1043" s="55"/>
      <c r="G1043" s="202"/>
      <c r="H1043" s="144"/>
      <c r="J1043" s="145"/>
      <c r="K1043" s="148"/>
      <c r="L1043" s="149"/>
    </row>
    <row r="1044" spans="1:12" s="17" customFormat="1" x14ac:dyDescent="0.25">
      <c r="A1044" s="229"/>
      <c r="B1044" s="55"/>
      <c r="C1044" s="55"/>
      <c r="D1044" s="55"/>
      <c r="G1044" s="202"/>
      <c r="H1044" s="144"/>
      <c r="J1044" s="145"/>
      <c r="K1044" s="148"/>
      <c r="L1044" s="149"/>
    </row>
    <row r="1045" spans="1:12" s="17" customFormat="1" x14ac:dyDescent="0.25">
      <c r="A1045" s="229"/>
      <c r="B1045" s="55"/>
      <c r="C1045" s="55"/>
      <c r="D1045" s="55"/>
      <c r="G1045" s="202"/>
      <c r="H1045" s="144"/>
      <c r="J1045" s="145"/>
      <c r="K1045" s="148"/>
      <c r="L1045" s="149"/>
    </row>
    <row r="1046" spans="1:12" s="17" customFormat="1" x14ac:dyDescent="0.25">
      <c r="A1046" s="229"/>
      <c r="B1046" s="55"/>
      <c r="C1046" s="55"/>
      <c r="D1046" s="55"/>
      <c r="G1046" s="202"/>
      <c r="H1046" s="144"/>
      <c r="J1046" s="145"/>
      <c r="K1046" s="148"/>
      <c r="L1046" s="149"/>
    </row>
    <row r="1047" spans="1:12" s="17" customFormat="1" x14ac:dyDescent="0.25">
      <c r="A1047" s="229"/>
      <c r="B1047" s="55"/>
      <c r="C1047" s="55"/>
      <c r="D1047" s="55"/>
      <c r="G1047" s="202"/>
      <c r="H1047" s="144"/>
      <c r="J1047" s="145"/>
      <c r="K1047" s="148"/>
      <c r="L1047" s="149"/>
    </row>
    <row r="1048" spans="1:12" s="17" customFormat="1" x14ac:dyDescent="0.25">
      <c r="A1048" s="229"/>
      <c r="B1048" s="55"/>
      <c r="C1048" s="55"/>
      <c r="D1048" s="55"/>
      <c r="G1048" s="202"/>
      <c r="H1048" s="144"/>
      <c r="J1048" s="145"/>
      <c r="K1048" s="148"/>
      <c r="L1048" s="149"/>
    </row>
    <row r="1049" spans="1:12" s="17" customFormat="1" x14ac:dyDescent="0.25">
      <c r="A1049" s="229"/>
      <c r="B1049" s="55"/>
      <c r="C1049" s="55"/>
      <c r="D1049" s="55"/>
      <c r="G1049" s="202"/>
      <c r="H1049" s="144"/>
      <c r="J1049" s="145"/>
      <c r="K1049" s="148"/>
      <c r="L1049" s="149"/>
    </row>
    <row r="1050" spans="1:12" s="17" customFormat="1" x14ac:dyDescent="0.25">
      <c r="A1050" s="229"/>
      <c r="B1050" s="55"/>
      <c r="C1050" s="55"/>
      <c r="D1050" s="55"/>
      <c r="G1050" s="202"/>
      <c r="H1050" s="144"/>
      <c r="J1050" s="145"/>
      <c r="K1050" s="148"/>
      <c r="L1050" s="149"/>
    </row>
    <row r="1051" spans="1:12" s="17" customFormat="1" x14ac:dyDescent="0.25">
      <c r="A1051" s="229"/>
      <c r="B1051" s="55"/>
      <c r="C1051" s="55"/>
      <c r="D1051" s="55"/>
      <c r="G1051" s="202"/>
      <c r="H1051" s="144"/>
      <c r="J1051" s="145"/>
      <c r="K1051" s="148"/>
      <c r="L1051" s="149"/>
    </row>
    <row r="1052" spans="1:12" s="17" customFormat="1" x14ac:dyDescent="0.25">
      <c r="A1052" s="229"/>
      <c r="B1052" s="55"/>
      <c r="C1052" s="55"/>
      <c r="D1052" s="55"/>
      <c r="G1052" s="202"/>
      <c r="H1052" s="144"/>
      <c r="J1052" s="145"/>
      <c r="K1052" s="148"/>
      <c r="L1052" s="149"/>
    </row>
    <row r="1053" spans="1:12" s="17" customFormat="1" x14ac:dyDescent="0.25">
      <c r="A1053" s="229"/>
      <c r="B1053" s="55"/>
      <c r="C1053" s="55"/>
      <c r="D1053" s="55"/>
      <c r="G1053" s="202"/>
      <c r="H1053" s="144"/>
      <c r="J1053" s="145"/>
      <c r="K1053" s="148"/>
      <c r="L1053" s="149"/>
    </row>
    <row r="1054" spans="1:12" s="17" customFormat="1" x14ac:dyDescent="0.25">
      <c r="A1054" s="229"/>
      <c r="B1054" s="55"/>
      <c r="C1054" s="55"/>
      <c r="D1054" s="55"/>
      <c r="G1054" s="202"/>
      <c r="H1054" s="144"/>
      <c r="J1054" s="145"/>
      <c r="K1054" s="148"/>
      <c r="L1054" s="149"/>
    </row>
    <row r="1055" spans="1:12" s="17" customFormat="1" x14ac:dyDescent="0.25">
      <c r="A1055" s="229"/>
      <c r="B1055" s="55"/>
      <c r="C1055" s="55"/>
      <c r="D1055" s="55"/>
      <c r="G1055" s="202"/>
      <c r="H1055" s="144"/>
      <c r="J1055" s="145"/>
      <c r="K1055" s="148"/>
      <c r="L1055" s="149"/>
    </row>
    <row r="1056" spans="1:12" s="17" customFormat="1" x14ac:dyDescent="0.25">
      <c r="A1056" s="229"/>
      <c r="B1056" s="55"/>
      <c r="C1056" s="55"/>
      <c r="D1056" s="55"/>
      <c r="G1056" s="202"/>
      <c r="H1056" s="144"/>
      <c r="J1056" s="145"/>
      <c r="K1056" s="148"/>
      <c r="L1056" s="149"/>
    </row>
    <row r="1057" spans="1:12" s="17" customFormat="1" x14ac:dyDescent="0.25">
      <c r="A1057" s="229"/>
      <c r="B1057" s="55"/>
      <c r="C1057" s="55"/>
      <c r="D1057" s="55"/>
      <c r="G1057" s="202"/>
      <c r="H1057" s="144"/>
      <c r="J1057" s="145"/>
      <c r="K1057" s="148"/>
      <c r="L1057" s="149"/>
    </row>
    <row r="1058" spans="1:12" s="17" customFormat="1" x14ac:dyDescent="0.25">
      <c r="A1058" s="229"/>
      <c r="B1058" s="55"/>
      <c r="C1058" s="55"/>
      <c r="D1058" s="55"/>
      <c r="G1058" s="202"/>
      <c r="H1058" s="144"/>
      <c r="J1058" s="145"/>
      <c r="K1058" s="148"/>
      <c r="L1058" s="149"/>
    </row>
    <row r="1059" spans="1:12" s="17" customFormat="1" x14ac:dyDescent="0.25">
      <c r="A1059" s="229"/>
      <c r="B1059" s="55"/>
      <c r="C1059" s="55"/>
      <c r="D1059" s="55"/>
      <c r="G1059" s="202"/>
      <c r="H1059" s="144"/>
      <c r="J1059" s="145"/>
      <c r="K1059" s="148"/>
      <c r="L1059" s="149"/>
    </row>
    <row r="1060" spans="1:12" s="17" customFormat="1" x14ac:dyDescent="0.25">
      <c r="A1060" s="229"/>
      <c r="B1060" s="55"/>
      <c r="C1060" s="55"/>
      <c r="D1060" s="55"/>
      <c r="G1060" s="202"/>
      <c r="H1060" s="144"/>
      <c r="J1060" s="145"/>
      <c r="K1060" s="148"/>
      <c r="L1060" s="149"/>
    </row>
    <row r="1061" spans="1:12" s="17" customFormat="1" x14ac:dyDescent="0.25">
      <c r="A1061" s="229"/>
      <c r="B1061" s="55"/>
      <c r="C1061" s="55"/>
      <c r="D1061" s="55"/>
      <c r="G1061" s="202"/>
      <c r="H1061" s="144"/>
      <c r="J1061" s="145"/>
      <c r="K1061" s="148"/>
      <c r="L1061" s="149"/>
    </row>
    <row r="1062" spans="1:12" s="17" customFormat="1" x14ac:dyDescent="0.25">
      <c r="A1062" s="229"/>
      <c r="B1062" s="55"/>
      <c r="C1062" s="55"/>
      <c r="D1062" s="55"/>
      <c r="G1062" s="202"/>
      <c r="H1062" s="144"/>
      <c r="J1062" s="145"/>
      <c r="K1062" s="148"/>
      <c r="L1062" s="149"/>
    </row>
    <row r="1063" spans="1:12" s="17" customFormat="1" x14ac:dyDescent="0.25">
      <c r="A1063" s="229"/>
      <c r="B1063" s="55"/>
      <c r="C1063" s="55"/>
      <c r="D1063" s="55"/>
      <c r="G1063" s="202"/>
      <c r="H1063" s="144"/>
      <c r="J1063" s="145"/>
      <c r="K1063" s="148"/>
      <c r="L1063" s="149"/>
    </row>
    <row r="1064" spans="1:12" s="17" customFormat="1" x14ac:dyDescent="0.25">
      <c r="A1064" s="229"/>
      <c r="B1064" s="55"/>
      <c r="C1064" s="55"/>
      <c r="D1064" s="55"/>
      <c r="G1064" s="202"/>
      <c r="H1064" s="144"/>
      <c r="J1064" s="145"/>
      <c r="K1064" s="148"/>
      <c r="L1064" s="149"/>
    </row>
    <row r="1065" spans="1:12" s="17" customFormat="1" x14ac:dyDescent="0.25">
      <c r="A1065" s="229"/>
      <c r="B1065" s="55"/>
      <c r="C1065" s="55"/>
      <c r="D1065" s="55"/>
      <c r="G1065" s="202"/>
      <c r="H1065" s="144"/>
      <c r="J1065" s="145"/>
      <c r="K1065" s="148"/>
      <c r="L1065" s="149"/>
    </row>
    <row r="1066" spans="1:12" s="17" customFormat="1" x14ac:dyDescent="0.25">
      <c r="A1066" s="229"/>
      <c r="B1066" s="55"/>
      <c r="C1066" s="55"/>
      <c r="D1066" s="55"/>
      <c r="G1066" s="202"/>
      <c r="H1066" s="144"/>
      <c r="J1066" s="145"/>
      <c r="K1066" s="148"/>
      <c r="L1066" s="149"/>
    </row>
    <row r="1067" spans="1:12" s="17" customFormat="1" x14ac:dyDescent="0.25">
      <c r="A1067" s="229"/>
      <c r="B1067" s="55"/>
      <c r="C1067" s="55"/>
      <c r="D1067" s="55"/>
      <c r="G1067" s="202"/>
      <c r="H1067" s="144"/>
      <c r="J1067" s="145"/>
      <c r="K1067" s="148"/>
      <c r="L1067" s="149"/>
    </row>
    <row r="1068" spans="1:12" s="17" customFormat="1" x14ac:dyDescent="0.25">
      <c r="A1068" s="229"/>
      <c r="B1068" s="55"/>
      <c r="C1068" s="55"/>
      <c r="D1068" s="55"/>
      <c r="G1068" s="202"/>
      <c r="H1068" s="144"/>
      <c r="J1068" s="145"/>
      <c r="K1068" s="148"/>
      <c r="L1068" s="149"/>
    </row>
    <row r="1069" spans="1:12" s="17" customFormat="1" x14ac:dyDescent="0.25">
      <c r="A1069" s="229"/>
      <c r="B1069" s="55"/>
      <c r="C1069" s="55"/>
      <c r="D1069" s="55"/>
      <c r="G1069" s="202"/>
      <c r="H1069" s="144"/>
      <c r="J1069" s="145"/>
      <c r="K1069" s="148"/>
      <c r="L1069" s="149"/>
    </row>
    <row r="1070" spans="1:12" s="17" customFormat="1" x14ac:dyDescent="0.25">
      <c r="A1070" s="229"/>
      <c r="B1070" s="55"/>
      <c r="C1070" s="55"/>
      <c r="D1070" s="55"/>
      <c r="G1070" s="202"/>
      <c r="H1070" s="144"/>
      <c r="J1070" s="145"/>
      <c r="K1070" s="148"/>
      <c r="L1070" s="149"/>
    </row>
    <row r="1071" spans="1:12" s="17" customFormat="1" x14ac:dyDescent="0.25">
      <c r="A1071" s="229"/>
      <c r="B1071" s="55"/>
      <c r="C1071" s="55"/>
      <c r="D1071" s="55"/>
      <c r="G1071" s="202"/>
      <c r="H1071" s="144"/>
      <c r="J1071" s="145"/>
      <c r="K1071" s="148"/>
      <c r="L1071" s="149"/>
    </row>
    <row r="1072" spans="1:12" s="17" customFormat="1" x14ac:dyDescent="0.25">
      <c r="A1072" s="229"/>
      <c r="B1072" s="55"/>
      <c r="C1072" s="55"/>
      <c r="D1072" s="55"/>
      <c r="G1072" s="202"/>
      <c r="H1072" s="144"/>
      <c r="J1072" s="145"/>
      <c r="K1072" s="148"/>
      <c r="L1072" s="149"/>
    </row>
    <row r="1073" spans="1:12" s="17" customFormat="1" x14ac:dyDescent="0.25">
      <c r="A1073" s="229"/>
      <c r="B1073" s="55"/>
      <c r="C1073" s="55"/>
      <c r="D1073" s="55"/>
      <c r="G1073" s="202"/>
      <c r="H1073" s="144"/>
      <c r="J1073" s="145"/>
      <c r="K1073" s="148"/>
      <c r="L1073" s="149"/>
    </row>
    <row r="1074" spans="1:12" s="17" customFormat="1" x14ac:dyDescent="0.25">
      <c r="A1074" s="229"/>
      <c r="B1074" s="55"/>
      <c r="C1074" s="55"/>
      <c r="D1074" s="55"/>
      <c r="G1074" s="202"/>
      <c r="H1074" s="144"/>
      <c r="J1074" s="145"/>
      <c r="K1074" s="148"/>
      <c r="L1074" s="149"/>
    </row>
    <row r="1075" spans="1:12" s="17" customFormat="1" x14ac:dyDescent="0.25">
      <c r="A1075" s="229"/>
      <c r="B1075" s="55"/>
      <c r="C1075" s="55"/>
      <c r="D1075" s="55"/>
      <c r="G1075" s="202"/>
      <c r="H1075" s="144"/>
      <c r="J1075" s="145"/>
      <c r="K1075" s="148"/>
      <c r="L1075" s="149"/>
    </row>
    <row r="1076" spans="1:12" s="17" customFormat="1" x14ac:dyDescent="0.25">
      <c r="A1076" s="229"/>
      <c r="B1076" s="55"/>
      <c r="C1076" s="55"/>
      <c r="D1076" s="55"/>
      <c r="G1076" s="202"/>
      <c r="H1076" s="144"/>
      <c r="J1076" s="145"/>
      <c r="K1076" s="148"/>
      <c r="L1076" s="149"/>
    </row>
    <row r="1077" spans="1:12" s="17" customFormat="1" x14ac:dyDescent="0.25">
      <c r="A1077" s="229"/>
      <c r="B1077" s="55"/>
      <c r="C1077" s="55"/>
      <c r="D1077" s="55"/>
      <c r="G1077" s="202"/>
      <c r="H1077" s="144"/>
      <c r="J1077" s="145"/>
      <c r="K1077" s="148"/>
      <c r="L1077" s="149"/>
    </row>
    <row r="1078" spans="1:12" s="17" customFormat="1" x14ac:dyDescent="0.25">
      <c r="A1078" s="229"/>
      <c r="B1078" s="55"/>
      <c r="C1078" s="55"/>
      <c r="D1078" s="55"/>
      <c r="G1078" s="202"/>
      <c r="H1078" s="144"/>
      <c r="J1078" s="145"/>
      <c r="K1078" s="148"/>
      <c r="L1078" s="149"/>
    </row>
    <row r="1079" spans="1:12" s="17" customFormat="1" x14ac:dyDescent="0.25">
      <c r="A1079" s="229"/>
      <c r="B1079" s="55"/>
      <c r="C1079" s="55"/>
      <c r="D1079" s="55"/>
      <c r="G1079" s="202"/>
      <c r="H1079" s="144"/>
      <c r="J1079" s="145"/>
      <c r="K1079" s="148"/>
      <c r="L1079" s="149"/>
    </row>
    <row r="1080" spans="1:12" s="17" customFormat="1" x14ac:dyDescent="0.25">
      <c r="A1080" s="229"/>
      <c r="B1080" s="55"/>
      <c r="C1080" s="55"/>
      <c r="D1080" s="55"/>
      <c r="G1080" s="202"/>
      <c r="H1080" s="144"/>
      <c r="J1080" s="145"/>
      <c r="K1080" s="148"/>
      <c r="L1080" s="149"/>
    </row>
    <row r="1081" spans="1:12" s="17" customFormat="1" x14ac:dyDescent="0.25">
      <c r="A1081" s="229"/>
      <c r="B1081" s="55"/>
      <c r="C1081" s="55"/>
      <c r="D1081" s="55"/>
      <c r="G1081" s="202"/>
      <c r="H1081" s="144"/>
      <c r="J1081" s="145"/>
      <c r="K1081" s="148"/>
      <c r="L1081" s="149"/>
    </row>
    <row r="1082" spans="1:12" s="17" customFormat="1" x14ac:dyDescent="0.25">
      <c r="A1082" s="229"/>
      <c r="B1082" s="55"/>
      <c r="C1082" s="55"/>
      <c r="D1082" s="55"/>
      <c r="G1082" s="202"/>
      <c r="H1082" s="144"/>
      <c r="J1082" s="145"/>
      <c r="K1082" s="148"/>
      <c r="L1082" s="149"/>
    </row>
    <row r="1083" spans="1:12" s="17" customFormat="1" x14ac:dyDescent="0.25">
      <c r="A1083" s="229"/>
      <c r="B1083" s="55"/>
      <c r="C1083" s="55"/>
      <c r="D1083" s="55"/>
      <c r="G1083" s="202"/>
      <c r="H1083" s="144"/>
      <c r="J1083" s="145"/>
      <c r="K1083" s="148"/>
      <c r="L1083" s="149"/>
    </row>
    <row r="1084" spans="1:12" s="17" customFormat="1" x14ac:dyDescent="0.25">
      <c r="A1084" s="229"/>
      <c r="B1084" s="55"/>
      <c r="C1084" s="55"/>
      <c r="D1084" s="55"/>
      <c r="G1084" s="202"/>
      <c r="H1084" s="144"/>
      <c r="J1084" s="145"/>
      <c r="K1084" s="148"/>
      <c r="L1084" s="149"/>
    </row>
    <row r="1085" spans="1:12" s="17" customFormat="1" x14ac:dyDescent="0.25">
      <c r="A1085" s="229"/>
      <c r="B1085" s="55"/>
      <c r="C1085" s="55"/>
      <c r="D1085" s="55"/>
      <c r="G1085" s="202"/>
      <c r="H1085" s="144"/>
      <c r="J1085" s="145"/>
      <c r="K1085" s="148"/>
      <c r="L1085" s="149"/>
    </row>
    <row r="1086" spans="1:12" s="17" customFormat="1" x14ac:dyDescent="0.25">
      <c r="A1086" s="229"/>
      <c r="B1086" s="55"/>
      <c r="C1086" s="55"/>
      <c r="D1086" s="55"/>
      <c r="G1086" s="202"/>
      <c r="H1086" s="144"/>
      <c r="J1086" s="145"/>
      <c r="K1086" s="148"/>
      <c r="L1086" s="149"/>
    </row>
    <row r="1087" spans="1:12" s="17" customFormat="1" x14ac:dyDescent="0.25">
      <c r="A1087" s="229"/>
      <c r="B1087" s="55"/>
      <c r="C1087" s="55"/>
      <c r="D1087" s="55"/>
      <c r="G1087" s="202"/>
      <c r="H1087" s="144"/>
      <c r="J1087" s="145"/>
      <c r="K1087" s="148"/>
      <c r="L1087" s="149"/>
    </row>
    <row r="1088" spans="1:12" s="17" customFormat="1" x14ac:dyDescent="0.25">
      <c r="A1088" s="229"/>
      <c r="B1088" s="55"/>
      <c r="C1088" s="55"/>
      <c r="D1088" s="55"/>
      <c r="G1088" s="202"/>
      <c r="H1088" s="144"/>
      <c r="J1088" s="145"/>
      <c r="K1088" s="148"/>
      <c r="L1088" s="149"/>
    </row>
    <row r="1089" spans="1:12" s="17" customFormat="1" x14ac:dyDescent="0.25">
      <c r="A1089" s="229"/>
      <c r="B1089" s="55"/>
      <c r="C1089" s="55"/>
      <c r="D1089" s="55"/>
      <c r="G1089" s="202"/>
      <c r="H1089" s="144"/>
      <c r="J1089" s="145"/>
      <c r="K1089" s="148"/>
      <c r="L1089" s="149"/>
    </row>
    <row r="1090" spans="1:12" s="17" customFormat="1" x14ac:dyDescent="0.25">
      <c r="A1090" s="229"/>
      <c r="B1090" s="55"/>
      <c r="C1090" s="55"/>
      <c r="D1090" s="55"/>
      <c r="G1090" s="202"/>
      <c r="H1090" s="144"/>
      <c r="J1090" s="145"/>
      <c r="K1090" s="148"/>
      <c r="L1090" s="149"/>
    </row>
    <row r="1091" spans="1:12" s="17" customFormat="1" x14ac:dyDescent="0.25">
      <c r="A1091" s="229"/>
      <c r="B1091" s="55"/>
      <c r="C1091" s="55"/>
      <c r="D1091" s="55"/>
      <c r="G1091" s="202"/>
      <c r="H1091" s="144"/>
      <c r="J1091" s="145"/>
      <c r="K1091" s="148"/>
      <c r="L1091" s="149"/>
    </row>
    <row r="1092" spans="1:12" s="17" customFormat="1" x14ac:dyDescent="0.25">
      <c r="A1092" s="229"/>
      <c r="B1092" s="55"/>
      <c r="C1092" s="55"/>
      <c r="D1092" s="55"/>
      <c r="G1092" s="202"/>
      <c r="H1092" s="144"/>
      <c r="J1092" s="145"/>
      <c r="K1092" s="148"/>
      <c r="L1092" s="149"/>
    </row>
    <row r="1093" spans="1:12" s="17" customFormat="1" x14ac:dyDescent="0.25">
      <c r="A1093" s="229"/>
      <c r="B1093" s="55"/>
      <c r="C1093" s="55"/>
      <c r="D1093" s="55"/>
      <c r="G1093" s="202"/>
      <c r="H1093" s="144"/>
      <c r="J1093" s="145"/>
      <c r="K1093" s="148"/>
      <c r="L1093" s="149"/>
    </row>
    <row r="1094" spans="1:12" s="17" customFormat="1" x14ac:dyDescent="0.25">
      <c r="A1094" s="229"/>
      <c r="B1094" s="55"/>
      <c r="C1094" s="55"/>
      <c r="D1094" s="55"/>
      <c r="G1094" s="202"/>
      <c r="H1094" s="144"/>
      <c r="J1094" s="145"/>
      <c r="K1094" s="148"/>
      <c r="L1094" s="149"/>
    </row>
    <row r="1095" spans="1:12" s="17" customFormat="1" x14ac:dyDescent="0.25">
      <c r="A1095" s="229"/>
      <c r="B1095" s="55"/>
      <c r="C1095" s="55"/>
      <c r="D1095" s="55"/>
      <c r="G1095" s="202"/>
      <c r="H1095" s="144"/>
      <c r="J1095" s="145"/>
      <c r="K1095" s="148"/>
      <c r="L1095" s="149"/>
    </row>
    <row r="1096" spans="1:12" s="17" customFormat="1" x14ac:dyDescent="0.25">
      <c r="A1096" s="229"/>
      <c r="B1096" s="55"/>
      <c r="C1096" s="55"/>
      <c r="D1096" s="55"/>
      <c r="G1096" s="202"/>
      <c r="H1096" s="144"/>
      <c r="J1096" s="145"/>
      <c r="K1096" s="148"/>
      <c r="L1096" s="149"/>
    </row>
    <row r="1097" spans="1:12" s="17" customFormat="1" x14ac:dyDescent="0.25">
      <c r="A1097" s="229"/>
      <c r="B1097" s="55"/>
      <c r="C1097" s="55"/>
      <c r="D1097" s="55"/>
      <c r="G1097" s="202"/>
      <c r="H1097" s="144"/>
      <c r="J1097" s="145"/>
      <c r="K1097" s="148"/>
      <c r="L1097" s="149"/>
    </row>
    <row r="1098" spans="1:12" s="17" customFormat="1" x14ac:dyDescent="0.25">
      <c r="A1098" s="229"/>
      <c r="B1098" s="55"/>
      <c r="C1098" s="55"/>
      <c r="D1098" s="55"/>
      <c r="G1098" s="202"/>
      <c r="H1098" s="144"/>
      <c r="J1098" s="145"/>
      <c r="K1098" s="148"/>
      <c r="L1098" s="149"/>
    </row>
    <row r="1099" spans="1:12" s="17" customFormat="1" x14ac:dyDescent="0.25">
      <c r="A1099" s="229"/>
      <c r="B1099" s="55"/>
      <c r="C1099" s="55"/>
      <c r="D1099" s="55"/>
      <c r="G1099" s="202"/>
      <c r="H1099" s="144"/>
      <c r="J1099" s="145"/>
      <c r="K1099" s="148"/>
      <c r="L1099" s="149"/>
    </row>
    <row r="1100" spans="1:12" s="17" customFormat="1" x14ac:dyDescent="0.25">
      <c r="A1100" s="229"/>
      <c r="B1100" s="55"/>
      <c r="C1100" s="55"/>
      <c r="D1100" s="55"/>
      <c r="G1100" s="202"/>
      <c r="H1100" s="144"/>
      <c r="J1100" s="145"/>
      <c r="K1100" s="148"/>
      <c r="L1100" s="149"/>
    </row>
    <row r="1101" spans="1:12" s="17" customFormat="1" x14ac:dyDescent="0.25">
      <c r="A1101" s="229"/>
      <c r="B1101" s="55"/>
      <c r="C1101" s="55"/>
      <c r="D1101" s="55"/>
      <c r="G1101" s="202"/>
      <c r="H1101" s="144"/>
      <c r="J1101" s="145"/>
      <c r="K1101" s="148"/>
      <c r="L1101" s="149"/>
    </row>
    <row r="1102" spans="1:12" s="17" customFormat="1" x14ac:dyDescent="0.25">
      <c r="A1102" s="229"/>
      <c r="B1102" s="55"/>
      <c r="C1102" s="55"/>
      <c r="D1102" s="55"/>
      <c r="G1102" s="202"/>
      <c r="H1102" s="144"/>
      <c r="J1102" s="145"/>
      <c r="K1102" s="148"/>
      <c r="L1102" s="149"/>
    </row>
    <row r="1103" spans="1:12" s="17" customFormat="1" x14ac:dyDescent="0.25">
      <c r="A1103" s="229"/>
      <c r="B1103" s="55"/>
      <c r="C1103" s="55"/>
      <c r="D1103" s="55"/>
      <c r="G1103" s="202"/>
      <c r="H1103" s="144"/>
      <c r="J1103" s="145"/>
      <c r="K1103" s="148"/>
      <c r="L1103" s="149"/>
    </row>
    <row r="1104" spans="1:12" s="17" customFormat="1" x14ac:dyDescent="0.25">
      <c r="A1104" s="229"/>
      <c r="B1104" s="55"/>
      <c r="C1104" s="55"/>
      <c r="D1104" s="55"/>
      <c r="G1104" s="202"/>
      <c r="H1104" s="144"/>
      <c r="J1104" s="145"/>
      <c r="K1104" s="148"/>
      <c r="L1104" s="149"/>
    </row>
    <row r="1105" spans="1:12" s="17" customFormat="1" x14ac:dyDescent="0.25">
      <c r="A1105" s="229"/>
      <c r="B1105" s="55"/>
      <c r="C1105" s="55"/>
      <c r="D1105" s="55"/>
      <c r="G1105" s="202"/>
      <c r="H1105" s="144"/>
      <c r="J1105" s="145"/>
      <c r="K1105" s="148"/>
      <c r="L1105" s="149"/>
    </row>
    <row r="1106" spans="1:12" s="17" customFormat="1" x14ac:dyDescent="0.25">
      <c r="A1106" s="229"/>
      <c r="B1106" s="55"/>
      <c r="C1106" s="55"/>
      <c r="D1106" s="55"/>
      <c r="G1106" s="202"/>
      <c r="H1106" s="144"/>
      <c r="J1106" s="145"/>
      <c r="K1106" s="148"/>
      <c r="L1106" s="149"/>
    </row>
    <row r="1107" spans="1:12" s="17" customFormat="1" x14ac:dyDescent="0.25">
      <c r="A1107" s="229"/>
      <c r="B1107" s="55"/>
      <c r="C1107" s="55"/>
      <c r="D1107" s="55"/>
      <c r="G1107" s="202"/>
      <c r="H1107" s="144"/>
      <c r="J1107" s="145"/>
      <c r="K1107" s="148"/>
      <c r="L1107" s="149"/>
    </row>
    <row r="1108" spans="1:12" s="17" customFormat="1" x14ac:dyDescent="0.25">
      <c r="A1108" s="229"/>
      <c r="B1108" s="55"/>
      <c r="C1108" s="55"/>
      <c r="D1108" s="55"/>
      <c r="G1108" s="202"/>
      <c r="H1108" s="144"/>
      <c r="J1108" s="145"/>
      <c r="K1108" s="148"/>
      <c r="L1108" s="149"/>
    </row>
    <row r="1109" spans="1:12" s="17" customFormat="1" x14ac:dyDescent="0.25">
      <c r="A1109" s="229"/>
      <c r="B1109" s="55"/>
      <c r="C1109" s="55"/>
      <c r="D1109" s="55"/>
      <c r="G1109" s="202"/>
      <c r="H1109" s="144"/>
      <c r="J1109" s="145"/>
      <c r="K1109" s="148"/>
      <c r="L1109" s="149"/>
    </row>
    <row r="1110" spans="1:12" s="17" customFormat="1" x14ac:dyDescent="0.25">
      <c r="A1110" s="229"/>
      <c r="B1110" s="55"/>
      <c r="C1110" s="55"/>
      <c r="D1110" s="55"/>
      <c r="G1110" s="202"/>
      <c r="H1110" s="144"/>
      <c r="J1110" s="145"/>
      <c r="K1110" s="148"/>
      <c r="L1110" s="149"/>
    </row>
    <row r="1111" spans="1:12" s="17" customFormat="1" x14ac:dyDescent="0.25">
      <c r="A1111" s="229"/>
      <c r="B1111" s="55"/>
      <c r="C1111" s="55"/>
      <c r="D1111" s="55"/>
      <c r="G1111" s="202"/>
      <c r="H1111" s="144"/>
      <c r="J1111" s="145"/>
      <c r="K1111" s="148"/>
      <c r="L1111" s="149"/>
    </row>
    <row r="1112" spans="1:12" s="17" customFormat="1" x14ac:dyDescent="0.25">
      <c r="A1112" s="229"/>
      <c r="B1112" s="55"/>
      <c r="C1112" s="55"/>
      <c r="D1112" s="55"/>
      <c r="G1112" s="202"/>
      <c r="H1112" s="144"/>
      <c r="J1112" s="145"/>
      <c r="K1112" s="148"/>
      <c r="L1112" s="149"/>
    </row>
    <row r="1113" spans="1:12" s="17" customFormat="1" x14ac:dyDescent="0.25">
      <c r="A1113" s="229"/>
      <c r="B1113" s="55"/>
      <c r="C1113" s="55"/>
      <c r="D1113" s="55"/>
      <c r="G1113" s="202"/>
      <c r="H1113" s="144"/>
      <c r="J1113" s="145"/>
      <c r="K1113" s="148"/>
      <c r="L1113" s="149"/>
    </row>
    <row r="1114" spans="1:12" s="17" customFormat="1" x14ac:dyDescent="0.25">
      <c r="A1114" s="229"/>
      <c r="B1114" s="55"/>
      <c r="C1114" s="55"/>
      <c r="D1114" s="55"/>
      <c r="G1114" s="202"/>
      <c r="H1114" s="144"/>
      <c r="J1114" s="145"/>
      <c r="K1114" s="148"/>
      <c r="L1114" s="149"/>
    </row>
    <row r="1115" spans="1:12" s="17" customFormat="1" x14ac:dyDescent="0.25">
      <c r="A1115" s="229"/>
      <c r="B1115" s="55"/>
      <c r="C1115" s="55"/>
      <c r="D1115" s="55"/>
      <c r="G1115" s="202"/>
      <c r="H1115" s="144"/>
      <c r="J1115" s="145"/>
      <c r="K1115" s="148"/>
      <c r="L1115" s="149"/>
    </row>
    <row r="1116" spans="1:12" s="17" customFormat="1" x14ac:dyDescent="0.25">
      <c r="A1116" s="229"/>
      <c r="B1116" s="55"/>
      <c r="C1116" s="55"/>
      <c r="D1116" s="55"/>
      <c r="G1116" s="202"/>
      <c r="H1116" s="144"/>
      <c r="J1116" s="145"/>
      <c r="K1116" s="148"/>
      <c r="L1116" s="149"/>
    </row>
    <row r="1117" spans="1:12" s="17" customFormat="1" x14ac:dyDescent="0.25">
      <c r="A1117" s="229"/>
      <c r="B1117" s="55"/>
      <c r="C1117" s="55"/>
      <c r="D1117" s="55"/>
      <c r="G1117" s="202"/>
      <c r="H1117" s="144"/>
      <c r="J1117" s="145"/>
      <c r="K1117" s="148"/>
      <c r="L1117" s="149"/>
    </row>
    <row r="1118" spans="1:12" s="17" customFormat="1" x14ac:dyDescent="0.25">
      <c r="A1118" s="229"/>
      <c r="B1118" s="55"/>
      <c r="C1118" s="55"/>
      <c r="D1118" s="55"/>
      <c r="G1118" s="202"/>
      <c r="H1118" s="144"/>
      <c r="J1118" s="145"/>
      <c r="K1118" s="148"/>
      <c r="L1118" s="149"/>
    </row>
    <row r="1119" spans="1:12" s="17" customFormat="1" x14ac:dyDescent="0.25">
      <c r="A1119" s="229"/>
      <c r="B1119" s="55"/>
      <c r="C1119" s="55"/>
      <c r="D1119" s="55"/>
      <c r="G1119" s="202"/>
      <c r="H1119" s="144"/>
      <c r="J1119" s="145"/>
      <c r="K1119" s="148"/>
      <c r="L1119" s="149"/>
    </row>
    <row r="1120" spans="1:12" s="17" customFormat="1" x14ac:dyDescent="0.25">
      <c r="A1120" s="229"/>
      <c r="B1120" s="55"/>
      <c r="C1120" s="55"/>
      <c r="D1120" s="55"/>
      <c r="G1120" s="202"/>
      <c r="H1120" s="144"/>
      <c r="J1120" s="145"/>
      <c r="K1120" s="148"/>
      <c r="L1120" s="149"/>
    </row>
    <row r="1121" spans="1:12" s="17" customFormat="1" x14ac:dyDescent="0.25">
      <c r="A1121" s="229"/>
      <c r="B1121" s="55"/>
      <c r="C1121" s="55"/>
      <c r="D1121" s="55"/>
      <c r="G1121" s="202"/>
      <c r="H1121" s="144"/>
      <c r="J1121" s="145"/>
      <c r="K1121" s="148"/>
      <c r="L1121" s="149"/>
    </row>
    <row r="1122" spans="1:12" s="17" customFormat="1" x14ac:dyDescent="0.25">
      <c r="A1122" s="229"/>
      <c r="B1122" s="55"/>
      <c r="C1122" s="55"/>
      <c r="D1122" s="55"/>
      <c r="G1122" s="202"/>
      <c r="H1122" s="144"/>
      <c r="J1122" s="145"/>
      <c r="K1122" s="148"/>
      <c r="L1122" s="149"/>
    </row>
    <row r="1123" spans="1:12" s="17" customFormat="1" x14ac:dyDescent="0.25">
      <c r="A1123" s="229"/>
      <c r="B1123" s="55"/>
      <c r="C1123" s="55"/>
      <c r="D1123" s="55"/>
      <c r="G1123" s="202"/>
      <c r="H1123" s="144"/>
      <c r="J1123" s="145"/>
      <c r="K1123" s="148"/>
      <c r="L1123" s="149"/>
    </row>
    <row r="1124" spans="1:12" s="17" customFormat="1" x14ac:dyDescent="0.25">
      <c r="A1124" s="229"/>
      <c r="B1124" s="55"/>
      <c r="C1124" s="55"/>
      <c r="D1124" s="55"/>
      <c r="G1124" s="202"/>
      <c r="H1124" s="144"/>
      <c r="J1124" s="145"/>
      <c r="K1124" s="148"/>
      <c r="L1124" s="149"/>
    </row>
    <row r="1125" spans="1:12" s="17" customFormat="1" x14ac:dyDescent="0.25">
      <c r="A1125" s="229"/>
      <c r="B1125" s="55"/>
      <c r="C1125" s="55"/>
      <c r="D1125" s="55"/>
      <c r="G1125" s="202"/>
      <c r="H1125" s="144"/>
      <c r="J1125" s="145"/>
      <c r="K1125" s="148"/>
      <c r="L1125" s="149"/>
    </row>
    <row r="1126" spans="1:12" s="17" customFormat="1" x14ac:dyDescent="0.25">
      <c r="A1126" s="229"/>
      <c r="B1126" s="55"/>
      <c r="C1126" s="55"/>
      <c r="D1126" s="55"/>
      <c r="G1126" s="202"/>
      <c r="H1126" s="144"/>
      <c r="J1126" s="145"/>
      <c r="K1126" s="148"/>
      <c r="L1126" s="149"/>
    </row>
    <row r="1127" spans="1:12" s="17" customFormat="1" x14ac:dyDescent="0.25">
      <c r="A1127" s="229"/>
      <c r="B1127" s="55"/>
      <c r="C1127" s="55"/>
      <c r="D1127" s="55"/>
      <c r="G1127" s="202"/>
      <c r="H1127" s="144"/>
      <c r="J1127" s="145"/>
      <c r="K1127" s="148"/>
      <c r="L1127" s="149"/>
    </row>
    <row r="1128" spans="1:12" s="17" customFormat="1" x14ac:dyDescent="0.25">
      <c r="A1128" s="229"/>
      <c r="B1128" s="55"/>
      <c r="C1128" s="55"/>
      <c r="D1128" s="55"/>
      <c r="G1128" s="202"/>
      <c r="H1128" s="144"/>
      <c r="J1128" s="145"/>
      <c r="K1128" s="148"/>
      <c r="L1128" s="149"/>
    </row>
    <row r="1129" spans="1:12" s="17" customFormat="1" x14ac:dyDescent="0.25">
      <c r="A1129" s="229"/>
      <c r="B1129" s="55"/>
      <c r="C1129" s="55"/>
      <c r="D1129" s="55"/>
      <c r="G1129" s="202"/>
      <c r="H1129" s="144"/>
      <c r="J1129" s="145"/>
      <c r="K1129" s="148"/>
      <c r="L1129" s="149"/>
    </row>
    <row r="1130" spans="1:12" s="17" customFormat="1" x14ac:dyDescent="0.25">
      <c r="A1130" s="229"/>
      <c r="B1130" s="55"/>
      <c r="C1130" s="55"/>
      <c r="D1130" s="55"/>
      <c r="G1130" s="202"/>
      <c r="H1130" s="144"/>
      <c r="J1130" s="145"/>
      <c r="K1130" s="148"/>
      <c r="L1130" s="149"/>
    </row>
    <row r="1131" spans="1:12" s="17" customFormat="1" x14ac:dyDescent="0.25">
      <c r="A1131" s="229"/>
      <c r="B1131" s="55"/>
      <c r="C1131" s="55"/>
      <c r="D1131" s="55"/>
      <c r="G1131" s="202"/>
      <c r="H1131" s="144"/>
      <c r="J1131" s="145"/>
      <c r="K1131" s="148"/>
      <c r="L1131" s="149"/>
    </row>
    <row r="1132" spans="1:12" s="17" customFormat="1" x14ac:dyDescent="0.25">
      <c r="A1132" s="229"/>
      <c r="B1132" s="55"/>
      <c r="C1132" s="55"/>
      <c r="D1132" s="55"/>
      <c r="G1132" s="202"/>
      <c r="H1132" s="144"/>
      <c r="J1132" s="145"/>
      <c r="K1132" s="148"/>
      <c r="L1132" s="149"/>
    </row>
    <row r="1133" spans="1:12" s="17" customFormat="1" x14ac:dyDescent="0.25">
      <c r="A1133" s="229"/>
      <c r="B1133" s="55"/>
      <c r="C1133" s="55"/>
      <c r="D1133" s="55"/>
      <c r="G1133" s="202"/>
      <c r="H1133" s="144"/>
      <c r="J1133" s="145"/>
      <c r="K1133" s="148"/>
      <c r="L1133" s="149"/>
    </row>
    <row r="1134" spans="1:12" s="17" customFormat="1" x14ac:dyDescent="0.25">
      <c r="A1134" s="229"/>
      <c r="B1134" s="55"/>
      <c r="C1134" s="55"/>
      <c r="D1134" s="55"/>
      <c r="G1134" s="202"/>
      <c r="H1134" s="144"/>
      <c r="J1134" s="145"/>
      <c r="K1134" s="148"/>
      <c r="L1134" s="149"/>
    </row>
    <row r="1135" spans="1:12" s="17" customFormat="1" x14ac:dyDescent="0.25">
      <c r="A1135" s="229"/>
      <c r="B1135" s="55"/>
      <c r="C1135" s="55"/>
      <c r="D1135" s="55"/>
      <c r="G1135" s="202"/>
      <c r="H1135" s="144"/>
      <c r="J1135" s="145"/>
      <c r="K1135" s="148"/>
      <c r="L1135" s="149"/>
    </row>
    <row r="1136" spans="1:12" s="17" customFormat="1" x14ac:dyDescent="0.25">
      <c r="A1136" s="229"/>
      <c r="B1136" s="55"/>
      <c r="C1136" s="55"/>
      <c r="D1136" s="55"/>
      <c r="G1136" s="202"/>
      <c r="H1136" s="144"/>
      <c r="J1136" s="145"/>
      <c r="K1136" s="148"/>
      <c r="L1136" s="149"/>
    </row>
    <row r="1137" spans="1:12" s="17" customFormat="1" x14ac:dyDescent="0.25">
      <c r="A1137" s="229"/>
      <c r="B1137" s="55"/>
      <c r="C1137" s="55"/>
      <c r="D1137" s="55"/>
      <c r="G1137" s="202"/>
      <c r="H1137" s="144"/>
      <c r="J1137" s="145"/>
      <c r="K1137" s="148"/>
      <c r="L1137" s="149"/>
    </row>
    <row r="1138" spans="1:12" s="17" customFormat="1" x14ac:dyDescent="0.25">
      <c r="A1138" s="229"/>
      <c r="B1138" s="55"/>
      <c r="C1138" s="55"/>
      <c r="D1138" s="55"/>
      <c r="G1138" s="202"/>
      <c r="H1138" s="144"/>
      <c r="J1138" s="145"/>
      <c r="K1138" s="148"/>
      <c r="L1138" s="149"/>
    </row>
    <row r="1139" spans="1:12" s="17" customFormat="1" x14ac:dyDescent="0.25">
      <c r="A1139" s="229"/>
      <c r="B1139" s="55"/>
      <c r="C1139" s="55"/>
      <c r="D1139" s="55"/>
      <c r="G1139" s="202"/>
      <c r="H1139" s="144"/>
      <c r="J1139" s="145"/>
      <c r="K1139" s="148"/>
      <c r="L1139" s="149"/>
    </row>
    <row r="1140" spans="1:12" s="17" customFormat="1" x14ac:dyDescent="0.25">
      <c r="A1140" s="229"/>
      <c r="B1140" s="55"/>
      <c r="C1140" s="55"/>
      <c r="D1140" s="55"/>
      <c r="G1140" s="202"/>
      <c r="H1140" s="144"/>
      <c r="J1140" s="145"/>
      <c r="K1140" s="148"/>
      <c r="L1140" s="149"/>
    </row>
    <row r="1141" spans="1:12" s="17" customFormat="1" x14ac:dyDescent="0.25">
      <c r="A1141" s="229"/>
      <c r="B1141" s="55"/>
      <c r="C1141" s="55"/>
      <c r="D1141" s="55"/>
      <c r="G1141" s="202"/>
      <c r="H1141" s="144"/>
      <c r="J1141" s="145"/>
      <c r="K1141" s="148"/>
      <c r="L1141" s="149"/>
    </row>
    <row r="1142" spans="1:12" s="17" customFormat="1" x14ac:dyDescent="0.25">
      <c r="A1142" s="229"/>
      <c r="B1142" s="55"/>
      <c r="C1142" s="55"/>
      <c r="D1142" s="55"/>
      <c r="G1142" s="202"/>
      <c r="H1142" s="144"/>
      <c r="J1142" s="145"/>
      <c r="K1142" s="148"/>
      <c r="L1142" s="149"/>
    </row>
    <row r="1143" spans="1:12" s="17" customFormat="1" x14ac:dyDescent="0.25">
      <c r="A1143" s="229"/>
      <c r="B1143" s="55"/>
      <c r="C1143" s="55"/>
      <c r="D1143" s="55"/>
      <c r="G1143" s="202"/>
      <c r="H1143" s="144"/>
      <c r="J1143" s="145"/>
      <c r="K1143" s="148"/>
      <c r="L1143" s="149"/>
    </row>
    <row r="1144" spans="1:12" s="17" customFormat="1" x14ac:dyDescent="0.25">
      <c r="A1144" s="229"/>
      <c r="B1144" s="55"/>
      <c r="C1144" s="55"/>
      <c r="D1144" s="55"/>
      <c r="G1144" s="202"/>
      <c r="H1144" s="144"/>
      <c r="J1144" s="145"/>
      <c r="K1144" s="148"/>
      <c r="L1144" s="149"/>
    </row>
    <row r="1145" spans="1:12" s="17" customFormat="1" x14ac:dyDescent="0.25">
      <c r="A1145" s="229"/>
      <c r="B1145" s="55"/>
      <c r="C1145" s="55"/>
      <c r="D1145" s="55"/>
      <c r="G1145" s="202"/>
      <c r="H1145" s="144"/>
      <c r="J1145" s="145"/>
      <c r="K1145" s="148"/>
      <c r="L1145" s="149"/>
    </row>
    <row r="1146" spans="1:12" s="17" customFormat="1" x14ac:dyDescent="0.25">
      <c r="A1146" s="229"/>
      <c r="B1146" s="55"/>
      <c r="C1146" s="55"/>
      <c r="D1146" s="55"/>
      <c r="G1146" s="202"/>
      <c r="H1146" s="144"/>
      <c r="J1146" s="145"/>
      <c r="K1146" s="148"/>
      <c r="L1146" s="149"/>
    </row>
    <row r="1147" spans="1:12" s="17" customFormat="1" x14ac:dyDescent="0.25">
      <c r="A1147" s="229"/>
      <c r="B1147" s="55"/>
      <c r="C1147" s="55"/>
      <c r="D1147" s="55"/>
      <c r="G1147" s="202"/>
      <c r="H1147" s="144"/>
      <c r="J1147" s="145"/>
      <c r="K1147" s="148"/>
      <c r="L1147" s="149"/>
    </row>
    <row r="1148" spans="1:12" s="17" customFormat="1" x14ac:dyDescent="0.25">
      <c r="A1148" s="229"/>
      <c r="B1148" s="55"/>
      <c r="C1148" s="55"/>
      <c r="D1148" s="55"/>
      <c r="G1148" s="202"/>
      <c r="H1148" s="144"/>
      <c r="J1148" s="145"/>
      <c r="K1148" s="148"/>
      <c r="L1148" s="149"/>
    </row>
    <row r="1149" spans="1:12" s="17" customFormat="1" x14ac:dyDescent="0.25">
      <c r="A1149" s="229"/>
      <c r="B1149" s="55"/>
      <c r="C1149" s="55"/>
      <c r="D1149" s="55"/>
      <c r="G1149" s="202"/>
      <c r="H1149" s="144"/>
      <c r="J1149" s="145"/>
      <c r="K1149" s="148"/>
      <c r="L1149" s="149"/>
    </row>
    <row r="1150" spans="1:12" s="17" customFormat="1" x14ac:dyDescent="0.25">
      <c r="A1150" s="229"/>
      <c r="B1150" s="55"/>
      <c r="C1150" s="55"/>
      <c r="D1150" s="55"/>
      <c r="G1150" s="202"/>
      <c r="H1150" s="144"/>
      <c r="J1150" s="145"/>
      <c r="K1150" s="148"/>
      <c r="L1150" s="149"/>
    </row>
    <row r="1151" spans="1:12" s="17" customFormat="1" x14ac:dyDescent="0.25">
      <c r="A1151" s="229"/>
      <c r="B1151" s="55"/>
      <c r="C1151" s="55"/>
      <c r="D1151" s="55"/>
      <c r="G1151" s="202"/>
      <c r="H1151" s="144"/>
      <c r="J1151" s="145"/>
      <c r="K1151" s="148"/>
      <c r="L1151" s="149"/>
    </row>
    <row r="1152" spans="1:12" s="17" customFormat="1" x14ac:dyDescent="0.25">
      <c r="A1152" s="229"/>
      <c r="B1152" s="55"/>
      <c r="C1152" s="55"/>
      <c r="D1152" s="55"/>
      <c r="G1152" s="202"/>
      <c r="H1152" s="144"/>
      <c r="J1152" s="145"/>
      <c r="K1152" s="148"/>
      <c r="L1152" s="149"/>
    </row>
    <row r="1153" spans="1:12" s="17" customFormat="1" x14ac:dyDescent="0.25">
      <c r="A1153" s="229"/>
      <c r="B1153" s="55"/>
      <c r="C1153" s="55"/>
      <c r="D1153" s="55"/>
      <c r="G1153" s="202"/>
      <c r="H1153" s="144"/>
      <c r="J1153" s="145"/>
      <c r="K1153" s="148"/>
      <c r="L1153" s="149"/>
    </row>
    <row r="1154" spans="1:12" s="17" customFormat="1" x14ac:dyDescent="0.25">
      <c r="A1154" s="229"/>
      <c r="B1154" s="55"/>
      <c r="C1154" s="55"/>
      <c r="D1154" s="55"/>
      <c r="G1154" s="202"/>
      <c r="H1154" s="144"/>
      <c r="J1154" s="145"/>
      <c r="K1154" s="148"/>
      <c r="L1154" s="149"/>
    </row>
    <row r="1155" spans="1:12" s="17" customFormat="1" x14ac:dyDescent="0.25">
      <c r="A1155" s="229"/>
      <c r="B1155" s="55"/>
      <c r="C1155" s="55"/>
      <c r="D1155" s="55"/>
      <c r="G1155" s="202"/>
      <c r="H1155" s="144"/>
      <c r="J1155" s="145"/>
      <c r="K1155" s="148"/>
      <c r="L1155" s="149"/>
    </row>
    <row r="1156" spans="1:12" s="17" customFormat="1" x14ac:dyDescent="0.25">
      <c r="A1156" s="229"/>
      <c r="B1156" s="55"/>
      <c r="C1156" s="55"/>
      <c r="D1156" s="55"/>
      <c r="G1156" s="202"/>
      <c r="H1156" s="144"/>
      <c r="J1156" s="145"/>
      <c r="K1156" s="148"/>
      <c r="L1156" s="149"/>
    </row>
    <row r="1157" spans="1:12" s="17" customFormat="1" x14ac:dyDescent="0.25">
      <c r="A1157" s="229"/>
      <c r="B1157" s="55"/>
      <c r="C1157" s="55"/>
      <c r="D1157" s="55"/>
      <c r="G1157" s="202"/>
      <c r="H1157" s="144"/>
      <c r="J1157" s="145"/>
      <c r="K1157" s="148"/>
      <c r="L1157" s="149"/>
    </row>
    <row r="1158" spans="1:12" s="17" customFormat="1" x14ac:dyDescent="0.25">
      <c r="A1158" s="229"/>
      <c r="B1158" s="55"/>
      <c r="C1158" s="55"/>
      <c r="D1158" s="55"/>
      <c r="G1158" s="202"/>
      <c r="H1158" s="144"/>
      <c r="J1158" s="145"/>
      <c r="K1158" s="148"/>
      <c r="L1158" s="149"/>
    </row>
    <row r="1159" spans="1:12" s="17" customFormat="1" x14ac:dyDescent="0.25">
      <c r="A1159" s="229"/>
      <c r="B1159" s="55"/>
      <c r="C1159" s="55"/>
      <c r="D1159" s="55"/>
      <c r="G1159" s="202"/>
      <c r="H1159" s="144"/>
      <c r="J1159" s="145"/>
      <c r="K1159" s="148"/>
      <c r="L1159" s="149"/>
    </row>
    <row r="1160" spans="1:12" s="17" customFormat="1" x14ac:dyDescent="0.25">
      <c r="A1160" s="229"/>
      <c r="B1160" s="55"/>
      <c r="C1160" s="55"/>
      <c r="D1160" s="55"/>
      <c r="G1160" s="202"/>
      <c r="H1160" s="144"/>
      <c r="J1160" s="145"/>
      <c r="K1160" s="148"/>
      <c r="L1160" s="149"/>
    </row>
    <row r="1161" spans="1:12" s="17" customFormat="1" x14ac:dyDescent="0.25">
      <c r="A1161" s="229"/>
      <c r="B1161" s="55"/>
      <c r="C1161" s="55"/>
      <c r="D1161" s="55"/>
      <c r="G1161" s="202"/>
      <c r="H1161" s="144"/>
      <c r="J1161" s="145"/>
      <c r="K1161" s="148"/>
      <c r="L1161" s="149"/>
    </row>
    <row r="1162" spans="1:12" s="17" customFormat="1" x14ac:dyDescent="0.25">
      <c r="A1162" s="229"/>
      <c r="B1162" s="55"/>
      <c r="C1162" s="55"/>
      <c r="D1162" s="55"/>
      <c r="G1162" s="202"/>
      <c r="H1162" s="144"/>
      <c r="J1162" s="145"/>
      <c r="K1162" s="148"/>
      <c r="L1162" s="149"/>
    </row>
    <row r="1163" spans="1:12" s="17" customFormat="1" x14ac:dyDescent="0.25">
      <c r="A1163" s="229"/>
      <c r="B1163" s="55"/>
      <c r="C1163" s="55"/>
      <c r="D1163" s="55"/>
      <c r="G1163" s="202"/>
      <c r="H1163" s="144"/>
      <c r="J1163" s="145"/>
      <c r="K1163" s="148"/>
      <c r="L1163" s="149"/>
    </row>
    <row r="1164" spans="1:12" s="17" customFormat="1" x14ac:dyDescent="0.25">
      <c r="A1164" s="229"/>
      <c r="B1164" s="55"/>
      <c r="C1164" s="55"/>
      <c r="D1164" s="55"/>
      <c r="G1164" s="202"/>
      <c r="H1164" s="144"/>
      <c r="J1164" s="145"/>
      <c r="K1164" s="148"/>
      <c r="L1164" s="149"/>
    </row>
    <row r="1165" spans="1:12" s="17" customFormat="1" x14ac:dyDescent="0.25">
      <c r="A1165" s="229"/>
      <c r="B1165" s="55"/>
      <c r="C1165" s="55"/>
      <c r="D1165" s="55"/>
      <c r="G1165" s="202"/>
      <c r="H1165" s="144"/>
      <c r="J1165" s="145"/>
      <c r="K1165" s="148"/>
      <c r="L1165" s="149"/>
    </row>
    <row r="1166" spans="1:12" s="17" customFormat="1" x14ac:dyDescent="0.25">
      <c r="A1166" s="229"/>
      <c r="B1166" s="55"/>
      <c r="C1166" s="55"/>
      <c r="D1166" s="55"/>
      <c r="G1166" s="202"/>
      <c r="H1166" s="144"/>
      <c r="J1166" s="145"/>
      <c r="K1166" s="148"/>
      <c r="L1166" s="149"/>
    </row>
    <row r="1167" spans="1:12" s="17" customFormat="1" x14ac:dyDescent="0.25">
      <c r="A1167" s="229"/>
      <c r="B1167" s="55"/>
      <c r="C1167" s="55"/>
      <c r="D1167" s="55"/>
      <c r="G1167" s="202"/>
      <c r="H1167" s="144"/>
      <c r="J1167" s="145"/>
      <c r="K1167" s="148"/>
      <c r="L1167" s="149"/>
    </row>
    <row r="1168" spans="1:12" s="17" customFormat="1" x14ac:dyDescent="0.25">
      <c r="A1168" s="229"/>
      <c r="B1168" s="55"/>
      <c r="C1168" s="55"/>
      <c r="D1168" s="55"/>
      <c r="G1168" s="202"/>
      <c r="H1168" s="144"/>
      <c r="J1168" s="145"/>
      <c r="K1168" s="148"/>
      <c r="L1168" s="149"/>
    </row>
    <row r="1169" spans="1:12" s="17" customFormat="1" x14ac:dyDescent="0.25">
      <c r="A1169" s="229"/>
      <c r="B1169" s="55"/>
      <c r="C1169" s="55"/>
      <c r="D1169" s="55"/>
      <c r="G1169" s="202"/>
      <c r="H1169" s="144"/>
      <c r="J1169" s="145"/>
      <c r="K1169" s="148"/>
      <c r="L1169" s="149"/>
    </row>
    <row r="1170" spans="1:12" s="17" customFormat="1" x14ac:dyDescent="0.25">
      <c r="A1170" s="229"/>
      <c r="B1170" s="55"/>
      <c r="C1170" s="55"/>
      <c r="D1170" s="55"/>
      <c r="G1170" s="202"/>
      <c r="H1170" s="144"/>
      <c r="J1170" s="145"/>
      <c r="K1170" s="148"/>
      <c r="L1170" s="149"/>
    </row>
    <row r="1171" spans="1:12" s="17" customFormat="1" x14ac:dyDescent="0.25">
      <c r="A1171" s="229"/>
      <c r="B1171" s="55"/>
      <c r="C1171" s="55"/>
      <c r="D1171" s="55"/>
      <c r="G1171" s="202"/>
      <c r="H1171" s="144"/>
      <c r="J1171" s="145"/>
      <c r="K1171" s="148"/>
      <c r="L1171" s="149"/>
    </row>
    <row r="1172" spans="1:12" s="17" customFormat="1" x14ac:dyDescent="0.25">
      <c r="A1172" s="229"/>
      <c r="B1172" s="55"/>
      <c r="C1172" s="55"/>
      <c r="D1172" s="55"/>
      <c r="G1172" s="202"/>
      <c r="H1172" s="144"/>
      <c r="J1172" s="145"/>
      <c r="K1172" s="148"/>
      <c r="L1172" s="149"/>
    </row>
    <row r="1173" spans="1:12" s="17" customFormat="1" x14ac:dyDescent="0.25">
      <c r="A1173" s="229"/>
      <c r="B1173" s="55"/>
      <c r="C1173" s="55"/>
      <c r="D1173" s="55"/>
      <c r="G1173" s="202"/>
      <c r="H1173" s="144"/>
      <c r="J1173" s="145"/>
      <c r="K1173" s="148"/>
      <c r="L1173" s="149"/>
    </row>
    <row r="1174" spans="1:12" s="17" customFormat="1" x14ac:dyDescent="0.25">
      <c r="A1174" s="229"/>
      <c r="B1174" s="55"/>
      <c r="C1174" s="55"/>
      <c r="D1174" s="55"/>
      <c r="G1174" s="202"/>
      <c r="H1174" s="144"/>
      <c r="J1174" s="145"/>
      <c r="K1174" s="148"/>
      <c r="L1174" s="149"/>
    </row>
    <row r="1175" spans="1:12" s="17" customFormat="1" x14ac:dyDescent="0.25">
      <c r="A1175" s="229"/>
      <c r="B1175" s="55"/>
      <c r="C1175" s="55"/>
      <c r="D1175" s="55"/>
      <c r="G1175" s="202"/>
      <c r="H1175" s="144"/>
      <c r="J1175" s="145"/>
      <c r="K1175" s="148"/>
      <c r="L1175" s="149"/>
    </row>
    <row r="1176" spans="1:12" s="17" customFormat="1" x14ac:dyDescent="0.25">
      <c r="A1176" s="229"/>
      <c r="B1176" s="55"/>
      <c r="C1176" s="55"/>
      <c r="D1176" s="55"/>
      <c r="G1176" s="202"/>
      <c r="H1176" s="144"/>
      <c r="J1176" s="145"/>
      <c r="K1176" s="148"/>
      <c r="L1176" s="149"/>
    </row>
    <row r="1177" spans="1:12" s="17" customFormat="1" x14ac:dyDescent="0.25">
      <c r="A1177" s="229"/>
      <c r="B1177" s="55"/>
      <c r="C1177" s="55"/>
      <c r="D1177" s="55"/>
      <c r="G1177" s="202"/>
      <c r="H1177" s="144"/>
      <c r="J1177" s="145"/>
      <c r="K1177" s="148"/>
      <c r="L1177" s="149"/>
    </row>
    <row r="1178" spans="1:12" s="17" customFormat="1" x14ac:dyDescent="0.25">
      <c r="A1178" s="229"/>
      <c r="B1178" s="55"/>
      <c r="C1178" s="55"/>
      <c r="D1178" s="55"/>
      <c r="G1178" s="202"/>
      <c r="H1178" s="144"/>
      <c r="J1178" s="145"/>
      <c r="K1178" s="148"/>
      <c r="L1178" s="149"/>
    </row>
    <row r="1179" spans="1:12" s="17" customFormat="1" x14ac:dyDescent="0.25">
      <c r="A1179" s="229"/>
      <c r="B1179" s="55"/>
      <c r="C1179" s="55"/>
      <c r="D1179" s="55"/>
      <c r="G1179" s="202"/>
      <c r="H1179" s="144"/>
      <c r="J1179" s="145"/>
      <c r="K1179" s="148"/>
      <c r="L1179" s="149"/>
    </row>
    <row r="1180" spans="1:12" s="17" customFormat="1" x14ac:dyDescent="0.25">
      <c r="A1180" s="229"/>
      <c r="B1180" s="55"/>
      <c r="C1180" s="55"/>
      <c r="D1180" s="55"/>
      <c r="G1180" s="202"/>
      <c r="H1180" s="144"/>
      <c r="J1180" s="145"/>
      <c r="K1180" s="148"/>
      <c r="L1180" s="149"/>
    </row>
    <row r="1181" spans="1:12" s="17" customFormat="1" x14ac:dyDescent="0.25">
      <c r="A1181" s="229"/>
      <c r="B1181" s="55"/>
      <c r="C1181" s="55"/>
      <c r="D1181" s="55"/>
      <c r="G1181" s="202"/>
      <c r="H1181" s="144"/>
      <c r="J1181" s="145"/>
      <c r="K1181" s="148"/>
      <c r="L1181" s="149"/>
    </row>
    <row r="1182" spans="1:12" s="17" customFormat="1" x14ac:dyDescent="0.25">
      <c r="A1182" s="229"/>
      <c r="B1182" s="55"/>
      <c r="C1182" s="55"/>
      <c r="D1182" s="55"/>
      <c r="G1182" s="202"/>
      <c r="H1182" s="144"/>
      <c r="J1182" s="145"/>
      <c r="K1182" s="148"/>
      <c r="L1182" s="149"/>
    </row>
    <row r="1183" spans="1:12" s="17" customFormat="1" x14ac:dyDescent="0.25">
      <c r="A1183" s="229"/>
      <c r="B1183" s="55"/>
      <c r="C1183" s="55"/>
      <c r="D1183" s="55"/>
      <c r="G1183" s="202"/>
      <c r="H1183" s="144"/>
      <c r="J1183" s="145"/>
      <c r="K1183" s="148"/>
      <c r="L1183" s="149"/>
    </row>
    <row r="1184" spans="1:12" s="17" customFormat="1" x14ac:dyDescent="0.25">
      <c r="A1184" s="229"/>
      <c r="B1184" s="55"/>
      <c r="C1184" s="55"/>
      <c r="D1184" s="55"/>
      <c r="G1184" s="202"/>
      <c r="H1184" s="144"/>
      <c r="J1184" s="145"/>
      <c r="K1184" s="148"/>
      <c r="L1184" s="149"/>
    </row>
    <row r="1185" spans="1:12" s="17" customFormat="1" x14ac:dyDescent="0.25">
      <c r="A1185" s="229"/>
      <c r="B1185" s="55"/>
      <c r="C1185" s="55"/>
      <c r="D1185" s="55"/>
      <c r="G1185" s="202"/>
      <c r="H1185" s="144"/>
      <c r="J1185" s="145"/>
      <c r="K1185" s="148"/>
      <c r="L1185" s="149"/>
    </row>
    <row r="1186" spans="1:12" s="17" customFormat="1" x14ac:dyDescent="0.25">
      <c r="A1186" s="229"/>
      <c r="B1186" s="55"/>
      <c r="C1186" s="55"/>
      <c r="D1186" s="55"/>
      <c r="G1186" s="202"/>
      <c r="H1186" s="144"/>
      <c r="J1186" s="145"/>
      <c r="K1186" s="148"/>
      <c r="L1186" s="149"/>
    </row>
    <row r="1187" spans="1:12" s="17" customFormat="1" x14ac:dyDescent="0.25">
      <c r="A1187" s="229"/>
      <c r="B1187" s="55"/>
      <c r="C1187" s="55"/>
      <c r="D1187" s="55"/>
      <c r="G1187" s="202"/>
      <c r="H1187" s="144"/>
      <c r="J1187" s="145"/>
      <c r="K1187" s="148"/>
      <c r="L1187" s="149"/>
    </row>
    <row r="1188" spans="1:12" s="17" customFormat="1" x14ac:dyDescent="0.25">
      <c r="A1188" s="229"/>
      <c r="B1188" s="55"/>
      <c r="C1188" s="55"/>
      <c r="D1188" s="55"/>
      <c r="G1188" s="202"/>
      <c r="H1188" s="144"/>
      <c r="J1188" s="145"/>
      <c r="K1188" s="148"/>
      <c r="L1188" s="149"/>
    </row>
    <row r="1189" spans="1:12" s="17" customFormat="1" x14ac:dyDescent="0.25">
      <c r="A1189" s="229"/>
      <c r="B1189" s="55"/>
      <c r="C1189" s="55"/>
      <c r="D1189" s="55"/>
      <c r="G1189" s="202"/>
      <c r="H1189" s="144"/>
      <c r="J1189" s="145"/>
      <c r="K1189" s="148"/>
      <c r="L1189" s="149"/>
    </row>
    <row r="1190" spans="1:12" s="17" customFormat="1" x14ac:dyDescent="0.25">
      <c r="A1190" s="229"/>
      <c r="B1190" s="55"/>
      <c r="C1190" s="55"/>
      <c r="D1190" s="55"/>
      <c r="G1190" s="202"/>
      <c r="H1190" s="144"/>
      <c r="J1190" s="145"/>
      <c r="K1190" s="148"/>
      <c r="L1190" s="149"/>
    </row>
    <row r="1191" spans="1:12" s="17" customFormat="1" x14ac:dyDescent="0.25">
      <c r="A1191" s="229"/>
      <c r="B1191" s="55"/>
      <c r="C1191" s="55"/>
      <c r="D1191" s="55"/>
      <c r="G1191" s="202"/>
      <c r="H1191" s="144"/>
      <c r="J1191" s="145"/>
      <c r="K1191" s="148"/>
      <c r="L1191" s="149"/>
    </row>
    <row r="1192" spans="1:12" s="17" customFormat="1" x14ac:dyDescent="0.25">
      <c r="A1192" s="229"/>
      <c r="B1192" s="55"/>
      <c r="C1192" s="55"/>
      <c r="D1192" s="55"/>
      <c r="G1192" s="202"/>
      <c r="H1192" s="144"/>
      <c r="J1192" s="145"/>
      <c r="K1192" s="148"/>
      <c r="L1192" s="149"/>
    </row>
    <row r="1193" spans="1:12" s="17" customFormat="1" x14ac:dyDescent="0.25">
      <c r="A1193" s="229"/>
      <c r="B1193" s="55"/>
      <c r="C1193" s="55"/>
      <c r="D1193" s="55"/>
      <c r="G1193" s="202"/>
      <c r="H1193" s="144"/>
      <c r="J1193" s="145"/>
      <c r="K1193" s="148"/>
      <c r="L1193" s="149"/>
    </row>
    <row r="1194" spans="1:12" s="17" customFormat="1" x14ac:dyDescent="0.25">
      <c r="A1194" s="229"/>
      <c r="B1194" s="55"/>
      <c r="C1194" s="55"/>
      <c r="D1194" s="55"/>
      <c r="G1194" s="202"/>
      <c r="H1194" s="144"/>
      <c r="J1194" s="145"/>
      <c r="K1194" s="148"/>
      <c r="L1194" s="149"/>
    </row>
    <row r="1195" spans="1:12" s="17" customFormat="1" x14ac:dyDescent="0.25">
      <c r="A1195" s="229"/>
      <c r="B1195" s="55"/>
      <c r="C1195" s="55"/>
      <c r="D1195" s="55"/>
      <c r="G1195" s="202"/>
      <c r="H1195" s="144"/>
      <c r="J1195" s="145"/>
      <c r="K1195" s="148"/>
      <c r="L1195" s="149"/>
    </row>
    <row r="1196" spans="1:12" s="17" customFormat="1" x14ac:dyDescent="0.25">
      <c r="A1196" s="229"/>
      <c r="B1196" s="55"/>
      <c r="C1196" s="55"/>
      <c r="D1196" s="55"/>
      <c r="G1196" s="202"/>
      <c r="H1196" s="144"/>
      <c r="J1196" s="145"/>
      <c r="K1196" s="148"/>
      <c r="L1196" s="149"/>
    </row>
    <row r="1197" spans="1:12" s="17" customFormat="1" x14ac:dyDescent="0.25">
      <c r="A1197" s="229"/>
      <c r="B1197" s="55"/>
      <c r="C1197" s="55"/>
      <c r="D1197" s="55"/>
      <c r="G1197" s="202"/>
      <c r="H1197" s="144"/>
      <c r="J1197" s="145"/>
      <c r="K1197" s="148"/>
      <c r="L1197" s="149"/>
    </row>
    <row r="1198" spans="1:12" s="17" customFormat="1" x14ac:dyDescent="0.25">
      <c r="A1198" s="229"/>
      <c r="B1198" s="55"/>
      <c r="C1198" s="55"/>
      <c r="D1198" s="55"/>
      <c r="G1198" s="202"/>
      <c r="H1198" s="144"/>
      <c r="J1198" s="145"/>
      <c r="K1198" s="148"/>
      <c r="L1198" s="149"/>
    </row>
    <row r="1199" spans="1:12" s="17" customFormat="1" x14ac:dyDescent="0.25">
      <c r="A1199" s="229"/>
      <c r="B1199" s="55"/>
      <c r="C1199" s="55"/>
      <c r="D1199" s="55"/>
      <c r="G1199" s="202"/>
      <c r="H1199" s="144"/>
      <c r="J1199" s="145"/>
      <c r="K1199" s="148"/>
      <c r="L1199" s="149"/>
    </row>
    <row r="1200" spans="1:12" s="17" customFormat="1" x14ac:dyDescent="0.25">
      <c r="A1200" s="229"/>
      <c r="B1200" s="55"/>
      <c r="C1200" s="55"/>
      <c r="D1200" s="55"/>
      <c r="G1200" s="202"/>
      <c r="H1200" s="144"/>
      <c r="J1200" s="145"/>
      <c r="K1200" s="148"/>
      <c r="L1200" s="149"/>
    </row>
    <row r="1201" spans="1:12" s="17" customFormat="1" x14ac:dyDescent="0.25">
      <c r="A1201" s="229"/>
      <c r="B1201" s="55"/>
      <c r="C1201" s="55"/>
      <c r="D1201" s="55"/>
      <c r="G1201" s="202"/>
      <c r="H1201" s="144"/>
      <c r="J1201" s="145"/>
      <c r="K1201" s="148"/>
      <c r="L1201" s="149"/>
    </row>
    <row r="1202" spans="1:12" s="17" customFormat="1" x14ac:dyDescent="0.25">
      <c r="A1202" s="229"/>
      <c r="B1202" s="55"/>
      <c r="C1202" s="55"/>
      <c r="D1202" s="55"/>
      <c r="G1202" s="202"/>
      <c r="H1202" s="144"/>
      <c r="J1202" s="145"/>
      <c r="K1202" s="148"/>
      <c r="L1202" s="149"/>
    </row>
    <row r="1203" spans="1:12" s="17" customFormat="1" x14ac:dyDescent="0.25">
      <c r="A1203" s="229"/>
      <c r="B1203" s="55"/>
      <c r="C1203" s="55"/>
      <c r="D1203" s="55"/>
      <c r="G1203" s="202"/>
      <c r="H1203" s="144"/>
      <c r="J1203" s="145"/>
      <c r="K1203" s="148"/>
      <c r="L1203" s="149"/>
    </row>
    <row r="1204" spans="1:12" s="17" customFormat="1" x14ac:dyDescent="0.25">
      <c r="A1204" s="229"/>
      <c r="B1204" s="55"/>
      <c r="C1204" s="55"/>
      <c r="D1204" s="55"/>
      <c r="G1204" s="202"/>
      <c r="H1204" s="144"/>
      <c r="J1204" s="145"/>
      <c r="K1204" s="148"/>
      <c r="L1204" s="149"/>
    </row>
    <row r="1205" spans="1:12" s="17" customFormat="1" x14ac:dyDescent="0.25">
      <c r="A1205" s="229"/>
      <c r="B1205" s="55"/>
      <c r="C1205" s="55"/>
      <c r="D1205" s="55"/>
      <c r="G1205" s="202"/>
      <c r="H1205" s="144"/>
      <c r="J1205" s="145"/>
      <c r="K1205" s="148"/>
      <c r="L1205" s="149"/>
    </row>
    <row r="1206" spans="1:12" s="17" customFormat="1" x14ac:dyDescent="0.25">
      <c r="A1206" s="229"/>
      <c r="B1206" s="55"/>
      <c r="C1206" s="55"/>
      <c r="D1206" s="55"/>
      <c r="G1206" s="202"/>
      <c r="H1206" s="144"/>
      <c r="J1206" s="145"/>
      <c r="K1206" s="148"/>
      <c r="L1206" s="149"/>
    </row>
    <row r="1207" spans="1:12" s="17" customFormat="1" x14ac:dyDescent="0.25">
      <c r="A1207" s="229"/>
      <c r="B1207" s="55"/>
      <c r="C1207" s="55"/>
      <c r="D1207" s="55"/>
      <c r="G1207" s="202"/>
      <c r="H1207" s="144"/>
      <c r="J1207" s="145"/>
      <c r="K1207" s="148"/>
      <c r="L1207" s="149"/>
    </row>
    <row r="1208" spans="1:12" s="17" customFormat="1" x14ac:dyDescent="0.25">
      <c r="A1208" s="229"/>
      <c r="B1208" s="55"/>
      <c r="C1208" s="55"/>
      <c r="D1208" s="55"/>
      <c r="G1208" s="202"/>
      <c r="H1208" s="144"/>
      <c r="J1208" s="145"/>
      <c r="K1208" s="148"/>
      <c r="L1208" s="149"/>
    </row>
    <row r="1209" spans="1:12" s="17" customFormat="1" x14ac:dyDescent="0.25">
      <c r="A1209" s="229"/>
      <c r="B1209" s="55"/>
      <c r="C1209" s="55"/>
      <c r="D1209" s="55"/>
      <c r="G1209" s="202"/>
      <c r="H1209" s="144"/>
      <c r="J1209" s="145"/>
      <c r="K1209" s="148"/>
      <c r="L1209" s="149"/>
    </row>
    <row r="1210" spans="1:12" s="17" customFormat="1" x14ac:dyDescent="0.25">
      <c r="A1210" s="229"/>
      <c r="B1210" s="55"/>
      <c r="C1210" s="55"/>
      <c r="D1210" s="55"/>
      <c r="G1210" s="202"/>
      <c r="H1210" s="144"/>
      <c r="J1210" s="145"/>
      <c r="K1210" s="148"/>
      <c r="L1210" s="149"/>
    </row>
    <row r="1211" spans="1:12" s="17" customFormat="1" x14ac:dyDescent="0.25">
      <c r="A1211" s="229"/>
      <c r="B1211" s="55"/>
      <c r="C1211" s="55"/>
      <c r="D1211" s="55"/>
      <c r="G1211" s="202"/>
      <c r="H1211" s="144"/>
      <c r="J1211" s="145"/>
      <c r="K1211" s="148"/>
      <c r="L1211" s="149"/>
    </row>
    <row r="1212" spans="1:12" s="17" customFormat="1" x14ac:dyDescent="0.25">
      <c r="A1212" s="229"/>
      <c r="B1212" s="55"/>
      <c r="C1212" s="55"/>
      <c r="D1212" s="55"/>
      <c r="G1212" s="202"/>
      <c r="H1212" s="144"/>
      <c r="J1212" s="145"/>
      <c r="K1212" s="148"/>
      <c r="L1212" s="149"/>
    </row>
    <row r="1213" spans="1:12" s="17" customFormat="1" x14ac:dyDescent="0.25">
      <c r="A1213" s="229"/>
      <c r="B1213" s="55"/>
      <c r="C1213" s="55"/>
      <c r="D1213" s="55"/>
      <c r="G1213" s="202"/>
      <c r="H1213" s="144"/>
      <c r="J1213" s="145"/>
      <c r="K1213" s="148"/>
      <c r="L1213" s="149"/>
    </row>
    <row r="1214" spans="1:12" s="17" customFormat="1" x14ac:dyDescent="0.25">
      <c r="A1214" s="229"/>
      <c r="B1214" s="55"/>
      <c r="C1214" s="55"/>
      <c r="D1214" s="55"/>
      <c r="G1214" s="202"/>
      <c r="H1214" s="144"/>
      <c r="J1214" s="145"/>
      <c r="K1214" s="148"/>
      <c r="L1214" s="149"/>
    </row>
    <row r="1215" spans="1:12" s="17" customFormat="1" x14ac:dyDescent="0.25">
      <c r="A1215" s="229"/>
      <c r="B1215" s="55"/>
      <c r="C1215" s="55"/>
      <c r="D1215" s="55"/>
      <c r="G1215" s="202"/>
      <c r="H1215" s="144"/>
      <c r="J1215" s="145"/>
      <c r="K1215" s="148"/>
      <c r="L1215" s="149"/>
    </row>
    <row r="1216" spans="1:12" s="17" customFormat="1" x14ac:dyDescent="0.25">
      <c r="A1216" s="229"/>
      <c r="B1216" s="55"/>
      <c r="C1216" s="55"/>
      <c r="D1216" s="55"/>
      <c r="G1216" s="202"/>
      <c r="H1216" s="144"/>
      <c r="J1216" s="145"/>
      <c r="K1216" s="148"/>
      <c r="L1216" s="149"/>
    </row>
    <row r="1217" spans="1:12" s="17" customFormat="1" x14ac:dyDescent="0.25">
      <c r="A1217" s="229"/>
      <c r="B1217" s="55"/>
      <c r="C1217" s="55"/>
      <c r="D1217" s="55"/>
      <c r="G1217" s="202"/>
      <c r="H1217" s="144"/>
      <c r="J1217" s="145"/>
      <c r="K1217" s="148"/>
      <c r="L1217" s="149"/>
    </row>
    <row r="1218" spans="1:12" s="17" customFormat="1" x14ac:dyDescent="0.25">
      <c r="A1218" s="229"/>
      <c r="B1218" s="55"/>
      <c r="C1218" s="55"/>
      <c r="D1218" s="55"/>
      <c r="G1218" s="202"/>
      <c r="H1218" s="144"/>
      <c r="J1218" s="145"/>
      <c r="K1218" s="148"/>
      <c r="L1218" s="149"/>
    </row>
    <row r="1219" spans="1:12" s="17" customFormat="1" x14ac:dyDescent="0.25">
      <c r="A1219" s="229"/>
      <c r="B1219" s="55"/>
      <c r="C1219" s="55"/>
      <c r="D1219" s="55"/>
      <c r="G1219" s="202"/>
      <c r="H1219" s="144"/>
      <c r="J1219" s="145"/>
      <c r="K1219" s="148"/>
      <c r="L1219" s="149"/>
    </row>
    <row r="1220" spans="1:12" s="17" customFormat="1" x14ac:dyDescent="0.25">
      <c r="A1220" s="229"/>
      <c r="B1220" s="55"/>
      <c r="C1220" s="55"/>
      <c r="D1220" s="55"/>
      <c r="G1220" s="202"/>
      <c r="H1220" s="144"/>
      <c r="J1220" s="145"/>
      <c r="K1220" s="148"/>
      <c r="L1220" s="149"/>
    </row>
    <row r="1221" spans="1:12" s="17" customFormat="1" x14ac:dyDescent="0.25">
      <c r="A1221" s="229"/>
      <c r="B1221" s="55"/>
      <c r="C1221" s="55"/>
      <c r="D1221" s="55"/>
      <c r="G1221" s="202"/>
      <c r="H1221" s="144"/>
      <c r="J1221" s="145"/>
      <c r="K1221" s="148"/>
      <c r="L1221" s="149"/>
    </row>
    <row r="1222" spans="1:12" s="17" customFormat="1" x14ac:dyDescent="0.25">
      <c r="A1222" s="229"/>
      <c r="B1222" s="55"/>
      <c r="C1222" s="55"/>
      <c r="D1222" s="55"/>
      <c r="G1222" s="202"/>
      <c r="H1222" s="144"/>
      <c r="J1222" s="145"/>
      <c r="K1222" s="148"/>
      <c r="L1222" s="149"/>
    </row>
    <row r="1223" spans="1:12" s="17" customFormat="1" x14ac:dyDescent="0.25">
      <c r="A1223" s="229"/>
      <c r="B1223" s="55"/>
      <c r="C1223" s="55"/>
      <c r="D1223" s="55"/>
      <c r="G1223" s="202"/>
      <c r="H1223" s="144"/>
      <c r="J1223" s="145"/>
      <c r="K1223" s="148"/>
      <c r="L1223" s="149"/>
    </row>
    <row r="1224" spans="1:12" s="17" customFormat="1" x14ac:dyDescent="0.25">
      <c r="A1224" s="229"/>
      <c r="B1224" s="55"/>
      <c r="C1224" s="55"/>
      <c r="D1224" s="55"/>
      <c r="G1224" s="202"/>
      <c r="H1224" s="144"/>
      <c r="J1224" s="145"/>
      <c r="K1224" s="148"/>
      <c r="L1224" s="149"/>
    </row>
    <row r="1225" spans="1:12" s="17" customFormat="1" x14ac:dyDescent="0.25">
      <c r="A1225" s="229"/>
      <c r="B1225" s="55"/>
      <c r="C1225" s="55"/>
      <c r="D1225" s="55"/>
      <c r="G1225" s="202"/>
      <c r="H1225" s="144"/>
      <c r="J1225" s="145"/>
      <c r="K1225" s="148"/>
      <c r="L1225" s="149"/>
    </row>
    <row r="1226" spans="1:12" s="17" customFormat="1" x14ac:dyDescent="0.25">
      <c r="A1226" s="229"/>
      <c r="B1226" s="55"/>
      <c r="C1226" s="55"/>
      <c r="D1226" s="55"/>
      <c r="G1226" s="202"/>
      <c r="H1226" s="144"/>
      <c r="J1226" s="145"/>
      <c r="K1226" s="148"/>
      <c r="L1226" s="149"/>
    </row>
    <row r="1227" spans="1:12" s="17" customFormat="1" x14ac:dyDescent="0.25">
      <c r="A1227" s="229"/>
      <c r="B1227" s="55"/>
      <c r="C1227" s="55"/>
      <c r="D1227" s="55"/>
      <c r="G1227" s="202"/>
      <c r="H1227" s="144"/>
      <c r="J1227" s="145"/>
      <c r="K1227" s="148"/>
      <c r="L1227" s="149"/>
    </row>
    <row r="1228" spans="1:12" s="17" customFormat="1" x14ac:dyDescent="0.25">
      <c r="A1228" s="229"/>
      <c r="B1228" s="55"/>
      <c r="C1228" s="55"/>
      <c r="D1228" s="55"/>
      <c r="G1228" s="202"/>
      <c r="H1228" s="144"/>
      <c r="J1228" s="145"/>
      <c r="K1228" s="148"/>
      <c r="L1228" s="149"/>
    </row>
    <row r="1229" spans="1:12" s="17" customFormat="1" x14ac:dyDescent="0.25">
      <c r="A1229" s="229"/>
      <c r="B1229" s="55"/>
      <c r="C1229" s="55"/>
      <c r="D1229" s="55"/>
      <c r="G1229" s="202"/>
      <c r="H1229" s="144"/>
      <c r="J1229" s="145"/>
      <c r="K1229" s="148"/>
      <c r="L1229" s="149"/>
    </row>
    <row r="1230" spans="1:12" s="17" customFormat="1" x14ac:dyDescent="0.25">
      <c r="A1230" s="229"/>
      <c r="B1230" s="55"/>
      <c r="C1230" s="55"/>
      <c r="D1230" s="55"/>
      <c r="G1230" s="202"/>
      <c r="H1230" s="144"/>
      <c r="J1230" s="145"/>
      <c r="K1230" s="148"/>
      <c r="L1230" s="149"/>
    </row>
    <row r="1231" spans="1:12" s="17" customFormat="1" x14ac:dyDescent="0.25">
      <c r="A1231" s="229"/>
      <c r="B1231" s="55"/>
      <c r="C1231" s="55"/>
      <c r="D1231" s="55"/>
      <c r="G1231" s="202"/>
      <c r="H1231" s="144"/>
      <c r="J1231" s="145"/>
      <c r="K1231" s="148"/>
      <c r="L1231" s="149"/>
    </row>
    <row r="1232" spans="1:12" s="17" customFormat="1" x14ac:dyDescent="0.25">
      <c r="A1232" s="229"/>
      <c r="B1232" s="55"/>
      <c r="C1232" s="55"/>
      <c r="D1232" s="55"/>
      <c r="G1232" s="202"/>
      <c r="H1232" s="144"/>
      <c r="J1232" s="145"/>
      <c r="K1232" s="148"/>
      <c r="L1232" s="149"/>
    </row>
    <row r="1233" spans="1:12" s="17" customFormat="1" x14ac:dyDescent="0.25">
      <c r="A1233" s="229"/>
      <c r="B1233" s="55"/>
      <c r="C1233" s="55"/>
      <c r="D1233" s="55"/>
      <c r="G1233" s="202"/>
      <c r="H1233" s="144"/>
      <c r="J1233" s="145"/>
      <c r="K1233" s="148"/>
      <c r="L1233" s="149"/>
    </row>
    <row r="1234" spans="1:12" s="17" customFormat="1" x14ac:dyDescent="0.25">
      <c r="A1234" s="229"/>
      <c r="B1234" s="55"/>
      <c r="C1234" s="55"/>
      <c r="D1234" s="55"/>
      <c r="G1234" s="202"/>
      <c r="H1234" s="144"/>
      <c r="J1234" s="145"/>
      <c r="K1234" s="148"/>
      <c r="L1234" s="149"/>
    </row>
    <row r="1235" spans="1:12" s="17" customFormat="1" x14ac:dyDescent="0.25">
      <c r="A1235" s="229"/>
      <c r="B1235" s="55"/>
      <c r="C1235" s="55"/>
      <c r="D1235" s="55"/>
      <c r="G1235" s="202"/>
      <c r="H1235" s="144"/>
      <c r="J1235" s="145"/>
      <c r="K1235" s="148"/>
      <c r="L1235" s="149"/>
    </row>
    <row r="1236" spans="1:12" s="17" customFormat="1" x14ac:dyDescent="0.25">
      <c r="A1236" s="229"/>
      <c r="B1236" s="55"/>
      <c r="C1236" s="55"/>
      <c r="D1236" s="55"/>
      <c r="G1236" s="202"/>
      <c r="H1236" s="144"/>
      <c r="J1236" s="145"/>
      <c r="K1236" s="148"/>
      <c r="L1236" s="149"/>
    </row>
    <row r="1237" spans="1:12" s="17" customFormat="1" x14ac:dyDescent="0.25">
      <c r="A1237" s="229"/>
      <c r="B1237" s="55"/>
      <c r="C1237" s="55"/>
      <c r="D1237" s="55"/>
      <c r="G1237" s="202"/>
      <c r="H1237" s="144"/>
      <c r="J1237" s="145"/>
      <c r="K1237" s="148"/>
      <c r="L1237" s="149"/>
    </row>
    <row r="1238" spans="1:12" s="17" customFormat="1" x14ac:dyDescent="0.25">
      <c r="A1238" s="229"/>
      <c r="B1238" s="55"/>
      <c r="C1238" s="55"/>
      <c r="D1238" s="55"/>
      <c r="G1238" s="202"/>
      <c r="H1238" s="144"/>
      <c r="J1238" s="145"/>
      <c r="K1238" s="148"/>
      <c r="L1238" s="149"/>
    </row>
    <row r="1239" spans="1:12" s="17" customFormat="1" x14ac:dyDescent="0.25">
      <c r="A1239" s="229"/>
      <c r="B1239" s="55"/>
      <c r="C1239" s="55"/>
      <c r="D1239" s="55"/>
      <c r="G1239" s="202"/>
      <c r="H1239" s="144"/>
      <c r="J1239" s="145"/>
      <c r="K1239" s="148"/>
      <c r="L1239" s="149"/>
    </row>
    <row r="1240" spans="1:12" s="17" customFormat="1" x14ac:dyDescent="0.25">
      <c r="A1240" s="229"/>
      <c r="B1240" s="55"/>
      <c r="C1240" s="55"/>
      <c r="D1240" s="55"/>
      <c r="G1240" s="202"/>
      <c r="H1240" s="144"/>
      <c r="J1240" s="145"/>
      <c r="K1240" s="148"/>
      <c r="L1240" s="149"/>
    </row>
    <row r="1241" spans="1:12" s="17" customFormat="1" x14ac:dyDescent="0.25">
      <c r="A1241" s="229"/>
      <c r="B1241" s="55"/>
      <c r="C1241" s="55"/>
      <c r="D1241" s="55"/>
      <c r="G1241" s="202"/>
      <c r="H1241" s="144"/>
      <c r="J1241" s="145"/>
      <c r="K1241" s="148"/>
      <c r="L1241" s="149"/>
    </row>
    <row r="1242" spans="1:12" s="17" customFormat="1" x14ac:dyDescent="0.25">
      <c r="A1242" s="229"/>
      <c r="B1242" s="55"/>
      <c r="C1242" s="55"/>
      <c r="D1242" s="55"/>
      <c r="G1242" s="202"/>
      <c r="H1242" s="144"/>
      <c r="J1242" s="145"/>
      <c r="K1242" s="148"/>
      <c r="L1242" s="149"/>
    </row>
    <row r="1243" spans="1:12" s="17" customFormat="1" x14ac:dyDescent="0.25">
      <c r="A1243" s="229"/>
      <c r="B1243" s="55"/>
      <c r="C1243" s="55"/>
      <c r="D1243" s="55"/>
      <c r="G1243" s="202"/>
      <c r="H1243" s="144"/>
      <c r="J1243" s="145"/>
      <c r="K1243" s="148"/>
      <c r="L1243" s="149"/>
    </row>
    <row r="1244" spans="1:12" s="17" customFormat="1" x14ac:dyDescent="0.25">
      <c r="A1244" s="229"/>
      <c r="B1244" s="55"/>
      <c r="C1244" s="55"/>
      <c r="D1244" s="55"/>
      <c r="G1244" s="202"/>
      <c r="H1244" s="144"/>
      <c r="J1244" s="145"/>
      <c r="K1244" s="148"/>
      <c r="L1244" s="149"/>
    </row>
    <row r="1245" spans="1:12" s="17" customFormat="1" x14ac:dyDescent="0.25">
      <c r="A1245" s="229"/>
      <c r="B1245" s="55"/>
      <c r="C1245" s="55"/>
      <c r="D1245" s="55"/>
      <c r="G1245" s="202"/>
      <c r="H1245" s="144"/>
      <c r="J1245" s="145"/>
      <c r="K1245" s="148"/>
      <c r="L1245" s="149"/>
    </row>
    <row r="1246" spans="1:12" s="17" customFormat="1" x14ac:dyDescent="0.25">
      <c r="A1246" s="229"/>
      <c r="B1246" s="55"/>
      <c r="C1246" s="55"/>
      <c r="D1246" s="55"/>
      <c r="G1246" s="202"/>
      <c r="H1246" s="144"/>
      <c r="J1246" s="145"/>
      <c r="K1246" s="148"/>
      <c r="L1246" s="149"/>
    </row>
    <row r="1247" spans="1:12" s="17" customFormat="1" x14ac:dyDescent="0.25">
      <c r="A1247" s="229"/>
      <c r="B1247" s="55"/>
      <c r="C1247" s="55"/>
      <c r="D1247" s="55"/>
      <c r="G1247" s="202"/>
      <c r="H1247" s="144"/>
      <c r="J1247" s="145"/>
      <c r="K1247" s="148"/>
      <c r="L1247" s="149"/>
    </row>
    <row r="1248" spans="1:12" s="17" customFormat="1" x14ac:dyDescent="0.25">
      <c r="A1248" s="229"/>
      <c r="B1248" s="55"/>
      <c r="C1248" s="55"/>
      <c r="D1248" s="55"/>
      <c r="G1248" s="202"/>
      <c r="H1248" s="144"/>
      <c r="J1248" s="145"/>
      <c r="K1248" s="148"/>
      <c r="L1248" s="149"/>
    </row>
    <row r="1249" spans="1:12" s="17" customFormat="1" x14ac:dyDescent="0.25">
      <c r="A1249" s="229"/>
      <c r="B1249" s="55"/>
      <c r="C1249" s="55"/>
      <c r="D1249" s="55"/>
      <c r="G1249" s="202"/>
      <c r="H1249" s="144"/>
      <c r="J1249" s="145"/>
      <c r="K1249" s="148"/>
      <c r="L1249" s="149"/>
    </row>
    <row r="1250" spans="1:12" s="17" customFormat="1" x14ac:dyDescent="0.25">
      <c r="A1250" s="229"/>
      <c r="B1250" s="55"/>
      <c r="C1250" s="55"/>
      <c r="D1250" s="55"/>
      <c r="G1250" s="202"/>
      <c r="H1250" s="144"/>
      <c r="J1250" s="145"/>
      <c r="K1250" s="148"/>
      <c r="L1250" s="149"/>
    </row>
    <row r="1251" spans="1:12" s="17" customFormat="1" x14ac:dyDescent="0.25">
      <c r="A1251" s="229"/>
      <c r="B1251" s="55"/>
      <c r="C1251" s="55"/>
      <c r="D1251" s="55"/>
      <c r="G1251" s="202"/>
      <c r="H1251" s="144"/>
      <c r="J1251" s="145"/>
      <c r="K1251" s="148"/>
      <c r="L1251" s="149"/>
    </row>
    <row r="1252" spans="1:12" s="17" customFormat="1" x14ac:dyDescent="0.25">
      <c r="A1252" s="229"/>
      <c r="B1252" s="55"/>
      <c r="C1252" s="55"/>
      <c r="D1252" s="55"/>
      <c r="G1252" s="202"/>
      <c r="H1252" s="144"/>
      <c r="J1252" s="145"/>
      <c r="K1252" s="148"/>
      <c r="L1252" s="149"/>
    </row>
    <row r="1253" spans="1:12" s="17" customFormat="1" x14ac:dyDescent="0.25">
      <c r="A1253" s="229"/>
      <c r="B1253" s="55"/>
      <c r="C1253" s="55"/>
      <c r="D1253" s="55"/>
      <c r="G1253" s="202"/>
      <c r="H1253" s="144"/>
      <c r="J1253" s="145"/>
      <c r="K1253" s="148"/>
      <c r="L1253" s="149"/>
    </row>
    <row r="1254" spans="1:12" s="17" customFormat="1" x14ac:dyDescent="0.25">
      <c r="A1254" s="229"/>
      <c r="B1254" s="55"/>
      <c r="C1254" s="55"/>
      <c r="D1254" s="55"/>
      <c r="G1254" s="202"/>
      <c r="H1254" s="144"/>
      <c r="J1254" s="145"/>
      <c r="K1254" s="148"/>
      <c r="L1254" s="149"/>
    </row>
    <row r="1255" spans="1:12" s="17" customFormat="1" x14ac:dyDescent="0.25">
      <c r="A1255" s="229"/>
      <c r="B1255" s="55"/>
      <c r="C1255" s="55"/>
      <c r="D1255" s="55"/>
      <c r="G1255" s="202"/>
      <c r="H1255" s="144"/>
      <c r="J1255" s="145"/>
      <c r="K1255" s="148"/>
      <c r="L1255" s="149"/>
    </row>
    <row r="1256" spans="1:12" s="17" customFormat="1" x14ac:dyDescent="0.25">
      <c r="A1256" s="229"/>
      <c r="B1256" s="55"/>
      <c r="C1256" s="55"/>
      <c r="D1256" s="55"/>
      <c r="G1256" s="202"/>
      <c r="H1256" s="144"/>
      <c r="J1256" s="145"/>
      <c r="K1256" s="148"/>
      <c r="L1256" s="149"/>
    </row>
    <row r="1257" spans="1:12" s="17" customFormat="1" x14ac:dyDescent="0.25">
      <c r="A1257" s="229"/>
      <c r="B1257" s="55"/>
      <c r="C1257" s="55"/>
      <c r="D1257" s="55"/>
      <c r="G1257" s="202"/>
      <c r="H1257" s="144"/>
      <c r="J1257" s="145"/>
      <c r="K1257" s="148"/>
      <c r="L1257" s="149"/>
    </row>
    <row r="1258" spans="1:12" s="17" customFormat="1" x14ac:dyDescent="0.25">
      <c r="A1258" s="229"/>
      <c r="B1258" s="55"/>
      <c r="C1258" s="55"/>
      <c r="D1258" s="55"/>
      <c r="G1258" s="202"/>
      <c r="H1258" s="144"/>
      <c r="J1258" s="145"/>
      <c r="K1258" s="148"/>
      <c r="L1258" s="149"/>
    </row>
    <row r="1259" spans="1:12" s="17" customFormat="1" x14ac:dyDescent="0.25">
      <c r="A1259" s="229"/>
      <c r="B1259" s="55"/>
      <c r="C1259" s="55"/>
      <c r="D1259" s="55"/>
      <c r="G1259" s="202"/>
      <c r="H1259" s="144"/>
      <c r="J1259" s="145"/>
      <c r="K1259" s="148"/>
      <c r="L1259" s="149"/>
    </row>
    <row r="1260" spans="1:12" s="17" customFormat="1" x14ac:dyDescent="0.25">
      <c r="A1260" s="229"/>
      <c r="B1260" s="55"/>
      <c r="C1260" s="55"/>
      <c r="D1260" s="55"/>
      <c r="G1260" s="202"/>
      <c r="H1260" s="144"/>
      <c r="J1260" s="145"/>
      <c r="K1260" s="148"/>
      <c r="L1260" s="149"/>
    </row>
    <row r="1261" spans="1:12" s="17" customFormat="1" x14ac:dyDescent="0.25">
      <c r="A1261" s="229"/>
      <c r="B1261" s="55"/>
      <c r="C1261" s="55"/>
      <c r="D1261" s="55"/>
      <c r="G1261" s="202"/>
      <c r="H1261" s="144"/>
      <c r="J1261" s="145"/>
      <c r="K1261" s="148"/>
      <c r="L1261" s="149"/>
    </row>
    <row r="1262" spans="1:12" s="17" customFormat="1" x14ac:dyDescent="0.25">
      <c r="A1262" s="229"/>
      <c r="B1262" s="55"/>
      <c r="C1262" s="55"/>
      <c r="D1262" s="55"/>
      <c r="G1262" s="202"/>
      <c r="H1262" s="144"/>
      <c r="J1262" s="145"/>
      <c r="K1262" s="148"/>
      <c r="L1262" s="149"/>
    </row>
    <row r="1263" spans="1:12" s="17" customFormat="1" x14ac:dyDescent="0.25">
      <c r="A1263" s="229"/>
      <c r="B1263" s="55"/>
      <c r="C1263" s="55"/>
      <c r="D1263" s="55"/>
      <c r="G1263" s="202"/>
      <c r="H1263" s="144"/>
      <c r="J1263" s="145"/>
      <c r="K1263" s="148"/>
      <c r="L1263" s="149"/>
    </row>
    <row r="1264" spans="1:12" s="17" customFormat="1" x14ac:dyDescent="0.25">
      <c r="A1264" s="229"/>
      <c r="B1264" s="55"/>
      <c r="C1264" s="55"/>
      <c r="D1264" s="55"/>
      <c r="G1264" s="202"/>
      <c r="H1264" s="144"/>
      <c r="J1264" s="145"/>
      <c r="K1264" s="148"/>
      <c r="L1264" s="149"/>
    </row>
    <row r="1265" spans="1:12" s="17" customFormat="1" x14ac:dyDescent="0.25">
      <c r="A1265" s="229"/>
      <c r="B1265" s="55"/>
      <c r="C1265" s="55"/>
      <c r="D1265" s="55"/>
      <c r="G1265" s="202"/>
      <c r="H1265" s="144"/>
      <c r="J1265" s="145"/>
      <c r="K1265" s="148"/>
      <c r="L1265" s="149"/>
    </row>
    <row r="1266" spans="1:12" s="17" customFormat="1" x14ac:dyDescent="0.25">
      <c r="A1266" s="229"/>
      <c r="B1266" s="55"/>
      <c r="C1266" s="55"/>
      <c r="D1266" s="55"/>
      <c r="G1266" s="202"/>
      <c r="H1266" s="144"/>
      <c r="J1266" s="145"/>
      <c r="K1266" s="148"/>
      <c r="L1266" s="149"/>
    </row>
    <row r="1267" spans="1:12" s="17" customFormat="1" x14ac:dyDescent="0.25">
      <c r="A1267" s="229"/>
      <c r="B1267" s="55"/>
      <c r="C1267" s="55"/>
      <c r="D1267" s="55"/>
      <c r="G1267" s="202"/>
      <c r="H1267" s="144"/>
      <c r="J1267" s="145"/>
      <c r="K1267" s="148"/>
      <c r="L1267" s="149"/>
    </row>
    <row r="1268" spans="1:12" s="17" customFormat="1" x14ac:dyDescent="0.25">
      <c r="A1268" s="229"/>
      <c r="B1268" s="55"/>
      <c r="C1268" s="55"/>
      <c r="D1268" s="55"/>
      <c r="G1268" s="202"/>
      <c r="H1268" s="144"/>
      <c r="J1268" s="145"/>
      <c r="K1268" s="148"/>
      <c r="L1268" s="149"/>
    </row>
    <row r="1269" spans="1:12" s="17" customFormat="1" x14ac:dyDescent="0.25">
      <c r="A1269" s="229"/>
      <c r="B1269" s="55"/>
      <c r="C1269" s="55"/>
      <c r="D1269" s="55"/>
      <c r="G1269" s="202"/>
      <c r="H1269" s="144"/>
      <c r="J1269" s="145"/>
      <c r="K1269" s="148"/>
      <c r="L1269" s="149"/>
    </row>
    <row r="1270" spans="1:12" s="17" customFormat="1" x14ac:dyDescent="0.25">
      <c r="A1270" s="229"/>
      <c r="B1270" s="55"/>
      <c r="C1270" s="55"/>
      <c r="D1270" s="55"/>
      <c r="G1270" s="202"/>
      <c r="H1270" s="144"/>
      <c r="J1270" s="145"/>
      <c r="K1270" s="148"/>
      <c r="L1270" s="149"/>
    </row>
    <row r="1271" spans="1:12" s="17" customFormat="1" x14ac:dyDescent="0.25">
      <c r="A1271" s="229"/>
      <c r="B1271" s="55"/>
      <c r="C1271" s="55"/>
      <c r="D1271" s="55"/>
      <c r="G1271" s="202"/>
      <c r="H1271" s="144"/>
      <c r="J1271" s="145"/>
      <c r="K1271" s="148"/>
      <c r="L1271" s="149"/>
    </row>
    <row r="1272" spans="1:12" s="17" customFormat="1" x14ac:dyDescent="0.25">
      <c r="A1272" s="229"/>
      <c r="B1272" s="55"/>
      <c r="C1272" s="55"/>
      <c r="D1272" s="55"/>
      <c r="G1272" s="202"/>
      <c r="H1272" s="144"/>
      <c r="J1272" s="145"/>
      <c r="K1272" s="148"/>
      <c r="L1272" s="149"/>
    </row>
    <row r="1273" spans="1:12" s="17" customFormat="1" x14ac:dyDescent="0.25">
      <c r="A1273" s="229"/>
      <c r="B1273" s="55"/>
      <c r="C1273" s="55"/>
      <c r="D1273" s="55"/>
      <c r="G1273" s="202"/>
      <c r="H1273" s="144"/>
      <c r="J1273" s="145"/>
      <c r="K1273" s="148"/>
      <c r="L1273" s="149"/>
    </row>
    <row r="1274" spans="1:12" s="17" customFormat="1" x14ac:dyDescent="0.25">
      <c r="A1274" s="229"/>
      <c r="B1274" s="55"/>
      <c r="C1274" s="55"/>
      <c r="D1274" s="55"/>
      <c r="G1274" s="202"/>
      <c r="H1274" s="144"/>
      <c r="J1274" s="145"/>
      <c r="K1274" s="148"/>
      <c r="L1274" s="149"/>
    </row>
    <row r="1275" spans="1:12" s="17" customFormat="1" x14ac:dyDescent="0.25">
      <c r="A1275" s="229"/>
      <c r="B1275" s="55"/>
      <c r="C1275" s="55"/>
      <c r="D1275" s="55"/>
      <c r="G1275" s="202"/>
      <c r="H1275" s="144"/>
      <c r="J1275" s="145"/>
      <c r="K1275" s="148"/>
      <c r="L1275" s="149"/>
    </row>
    <row r="1276" spans="1:12" s="17" customFormat="1" x14ac:dyDescent="0.25">
      <c r="A1276" s="229"/>
      <c r="B1276" s="55"/>
      <c r="C1276" s="55"/>
      <c r="D1276" s="55"/>
      <c r="G1276" s="202"/>
      <c r="H1276" s="144"/>
      <c r="J1276" s="145"/>
      <c r="K1276" s="148"/>
      <c r="L1276" s="149"/>
    </row>
    <row r="1277" spans="1:12" s="17" customFormat="1" x14ac:dyDescent="0.25">
      <c r="A1277" s="229"/>
      <c r="B1277" s="55"/>
      <c r="C1277" s="55"/>
      <c r="D1277" s="55"/>
      <c r="G1277" s="202"/>
      <c r="H1277" s="144"/>
      <c r="J1277" s="145"/>
      <c r="K1277" s="148"/>
      <c r="L1277" s="149"/>
    </row>
    <row r="1278" spans="1:12" s="17" customFormat="1" x14ac:dyDescent="0.25">
      <c r="A1278" s="229"/>
      <c r="B1278" s="55"/>
      <c r="C1278" s="55"/>
      <c r="D1278" s="55"/>
      <c r="G1278" s="202"/>
      <c r="H1278" s="144"/>
      <c r="J1278" s="145"/>
      <c r="K1278" s="148"/>
      <c r="L1278" s="149"/>
    </row>
    <row r="1279" spans="1:12" s="17" customFormat="1" x14ac:dyDescent="0.25">
      <c r="A1279" s="229"/>
      <c r="B1279" s="55"/>
      <c r="C1279" s="55"/>
      <c r="D1279" s="55"/>
      <c r="G1279" s="202"/>
      <c r="H1279" s="144"/>
      <c r="J1279" s="145"/>
      <c r="K1279" s="148"/>
      <c r="L1279" s="149"/>
    </row>
    <row r="1280" spans="1:12" s="17" customFormat="1" x14ac:dyDescent="0.25">
      <c r="A1280" s="229"/>
      <c r="B1280" s="55"/>
      <c r="C1280" s="55"/>
      <c r="D1280" s="55"/>
      <c r="G1280" s="202"/>
      <c r="H1280" s="144"/>
      <c r="J1280" s="145"/>
      <c r="K1280" s="148"/>
      <c r="L1280" s="149"/>
    </row>
    <row r="1281" spans="1:12" s="17" customFormat="1" x14ac:dyDescent="0.25">
      <c r="A1281" s="229"/>
      <c r="B1281" s="55"/>
      <c r="C1281" s="55"/>
      <c r="D1281" s="55"/>
      <c r="G1281" s="202"/>
      <c r="H1281" s="144"/>
      <c r="J1281" s="145"/>
      <c r="K1281" s="148"/>
      <c r="L1281" s="149"/>
    </row>
    <row r="1282" spans="1:12" s="17" customFormat="1" x14ac:dyDescent="0.25">
      <c r="A1282" s="229"/>
      <c r="B1282" s="55"/>
      <c r="C1282" s="55"/>
      <c r="D1282" s="55"/>
      <c r="G1282" s="202"/>
      <c r="H1282" s="144"/>
      <c r="J1282" s="145"/>
      <c r="K1282" s="148"/>
      <c r="L1282" s="149"/>
    </row>
    <row r="1283" spans="1:12" s="17" customFormat="1" x14ac:dyDescent="0.25">
      <c r="A1283" s="229"/>
      <c r="B1283" s="55"/>
      <c r="C1283" s="55"/>
      <c r="D1283" s="55"/>
      <c r="G1283" s="202"/>
      <c r="H1283" s="144"/>
      <c r="J1283" s="145"/>
      <c r="K1283" s="148"/>
      <c r="L1283" s="149"/>
    </row>
    <row r="1284" spans="1:12" s="17" customFormat="1" x14ac:dyDescent="0.25">
      <c r="A1284" s="229"/>
      <c r="B1284" s="55"/>
      <c r="C1284" s="55"/>
      <c r="D1284" s="55"/>
      <c r="G1284" s="202"/>
      <c r="H1284" s="144"/>
      <c r="J1284" s="145"/>
      <c r="K1284" s="148"/>
      <c r="L1284" s="149"/>
    </row>
    <row r="1285" spans="1:12" s="17" customFormat="1" x14ac:dyDescent="0.25">
      <c r="A1285" s="229"/>
      <c r="B1285" s="55"/>
      <c r="C1285" s="55"/>
      <c r="D1285" s="55"/>
      <c r="G1285" s="202"/>
      <c r="H1285" s="144"/>
      <c r="J1285" s="145"/>
      <c r="K1285" s="148"/>
      <c r="L1285" s="149"/>
    </row>
    <row r="1286" spans="1:12" s="17" customFormat="1" x14ac:dyDescent="0.25">
      <c r="A1286" s="229"/>
      <c r="B1286" s="55"/>
      <c r="C1286" s="55"/>
      <c r="D1286" s="55"/>
      <c r="G1286" s="202"/>
      <c r="H1286" s="144"/>
      <c r="J1286" s="145"/>
      <c r="K1286" s="148"/>
      <c r="L1286" s="149"/>
    </row>
    <row r="1287" spans="1:12" s="17" customFormat="1" x14ac:dyDescent="0.25">
      <c r="A1287" s="229"/>
      <c r="B1287" s="55"/>
      <c r="C1287" s="55"/>
      <c r="D1287" s="55"/>
      <c r="G1287" s="202"/>
      <c r="H1287" s="144"/>
      <c r="J1287" s="145"/>
      <c r="K1287" s="148"/>
      <c r="L1287" s="149"/>
    </row>
    <row r="1288" spans="1:12" s="17" customFormat="1" x14ac:dyDescent="0.25">
      <c r="A1288" s="229"/>
      <c r="B1288" s="55"/>
      <c r="C1288" s="55"/>
      <c r="D1288" s="55"/>
      <c r="G1288" s="202"/>
      <c r="H1288" s="144"/>
      <c r="J1288" s="145"/>
      <c r="K1288" s="148"/>
      <c r="L1288" s="149"/>
    </row>
    <row r="1289" spans="1:12" s="17" customFormat="1" x14ac:dyDescent="0.25">
      <c r="A1289" s="229"/>
      <c r="B1289" s="55"/>
      <c r="C1289" s="55"/>
      <c r="D1289" s="55"/>
      <c r="G1289" s="202"/>
      <c r="H1289" s="144"/>
      <c r="J1289" s="145"/>
      <c r="K1289" s="148"/>
      <c r="L1289" s="149"/>
    </row>
    <row r="1290" spans="1:12" s="17" customFormat="1" x14ac:dyDescent="0.25">
      <c r="A1290" s="229"/>
      <c r="B1290" s="55"/>
      <c r="C1290" s="55"/>
      <c r="D1290" s="55"/>
      <c r="G1290" s="202"/>
      <c r="H1290" s="144"/>
      <c r="J1290" s="145"/>
      <c r="K1290" s="148"/>
      <c r="L1290" s="149"/>
    </row>
    <row r="1291" spans="1:12" s="17" customFormat="1" x14ac:dyDescent="0.25">
      <c r="A1291" s="229"/>
      <c r="B1291" s="55"/>
      <c r="C1291" s="55"/>
      <c r="D1291" s="55"/>
      <c r="G1291" s="202"/>
      <c r="H1291" s="144"/>
      <c r="J1291" s="145"/>
      <c r="K1291" s="148"/>
      <c r="L1291" s="149"/>
    </row>
    <row r="1292" spans="1:12" s="17" customFormat="1" x14ac:dyDescent="0.25">
      <c r="A1292" s="229"/>
      <c r="B1292" s="55"/>
      <c r="C1292" s="55"/>
      <c r="D1292" s="55"/>
      <c r="G1292" s="202"/>
      <c r="H1292" s="144"/>
      <c r="J1292" s="145"/>
      <c r="K1292" s="148"/>
      <c r="L1292" s="149"/>
    </row>
    <row r="1293" spans="1:12" s="17" customFormat="1" x14ac:dyDescent="0.25">
      <c r="A1293" s="229"/>
      <c r="B1293" s="55"/>
      <c r="C1293" s="55"/>
      <c r="D1293" s="55"/>
      <c r="G1293" s="202"/>
      <c r="H1293" s="144"/>
      <c r="J1293" s="145"/>
      <c r="K1293" s="148"/>
      <c r="L1293" s="149"/>
    </row>
    <row r="1294" spans="1:12" s="17" customFormat="1" x14ac:dyDescent="0.25">
      <c r="A1294" s="229"/>
      <c r="B1294" s="55"/>
      <c r="C1294" s="55"/>
      <c r="D1294" s="55"/>
      <c r="G1294" s="202"/>
      <c r="H1294" s="144"/>
      <c r="J1294" s="145"/>
      <c r="K1294" s="148"/>
      <c r="L1294" s="149"/>
    </row>
    <row r="1295" spans="1:12" s="17" customFormat="1" x14ac:dyDescent="0.25">
      <c r="A1295" s="229"/>
      <c r="B1295" s="55"/>
      <c r="C1295" s="55"/>
      <c r="D1295" s="55"/>
      <c r="G1295" s="202"/>
      <c r="H1295" s="144"/>
      <c r="J1295" s="145"/>
      <c r="K1295" s="148"/>
      <c r="L1295" s="149"/>
    </row>
    <row r="1296" spans="1:12" s="17" customFormat="1" x14ac:dyDescent="0.25">
      <c r="A1296" s="229"/>
      <c r="B1296" s="55"/>
      <c r="C1296" s="55"/>
      <c r="D1296" s="55"/>
      <c r="G1296" s="202"/>
      <c r="H1296" s="144"/>
      <c r="J1296" s="145"/>
      <c r="K1296" s="148"/>
      <c r="L1296" s="149"/>
    </row>
    <row r="1297" spans="1:12" s="17" customFormat="1" x14ac:dyDescent="0.25">
      <c r="A1297" s="229"/>
      <c r="B1297" s="55"/>
      <c r="C1297" s="55"/>
      <c r="D1297" s="55"/>
      <c r="G1297" s="202"/>
      <c r="H1297" s="144"/>
      <c r="J1297" s="145"/>
      <c r="K1297" s="148"/>
      <c r="L1297" s="149"/>
    </row>
    <row r="1298" spans="1:12" s="17" customFormat="1" x14ac:dyDescent="0.25">
      <c r="A1298" s="229"/>
      <c r="B1298" s="55"/>
      <c r="C1298" s="55"/>
      <c r="D1298" s="55"/>
      <c r="G1298" s="202"/>
      <c r="H1298" s="144"/>
      <c r="J1298" s="145"/>
      <c r="K1298" s="148"/>
      <c r="L1298" s="149"/>
    </row>
    <row r="1299" spans="1:12" s="17" customFormat="1" x14ac:dyDescent="0.25">
      <c r="A1299" s="229"/>
      <c r="B1299" s="55"/>
      <c r="C1299" s="55"/>
      <c r="D1299" s="55"/>
      <c r="G1299" s="202"/>
      <c r="H1299" s="144"/>
      <c r="J1299" s="145"/>
      <c r="K1299" s="148"/>
      <c r="L1299" s="149"/>
    </row>
    <row r="1300" spans="1:12" s="17" customFormat="1" x14ac:dyDescent="0.25">
      <c r="A1300" s="229"/>
      <c r="B1300" s="55"/>
      <c r="C1300" s="55"/>
      <c r="D1300" s="55"/>
      <c r="G1300" s="202"/>
      <c r="H1300" s="144"/>
      <c r="J1300" s="145"/>
      <c r="K1300" s="148"/>
      <c r="L1300" s="149"/>
    </row>
    <row r="1301" spans="1:12" s="17" customFormat="1" x14ac:dyDescent="0.25">
      <c r="A1301" s="229"/>
      <c r="B1301" s="55"/>
      <c r="C1301" s="55"/>
      <c r="D1301" s="55"/>
      <c r="G1301" s="202"/>
      <c r="H1301" s="144"/>
      <c r="J1301" s="145"/>
      <c r="K1301" s="148"/>
      <c r="L1301" s="149"/>
    </row>
    <row r="1302" spans="1:12" s="17" customFormat="1" x14ac:dyDescent="0.25">
      <c r="A1302" s="229"/>
      <c r="B1302" s="55"/>
      <c r="C1302" s="55"/>
      <c r="D1302" s="55"/>
      <c r="G1302" s="202"/>
      <c r="H1302" s="144"/>
      <c r="J1302" s="145"/>
      <c r="K1302" s="148"/>
      <c r="L1302" s="149"/>
    </row>
    <row r="1303" spans="1:12" s="17" customFormat="1" x14ac:dyDescent="0.25">
      <c r="A1303" s="229"/>
      <c r="B1303" s="55"/>
      <c r="C1303" s="55"/>
      <c r="D1303" s="55"/>
      <c r="G1303" s="202"/>
      <c r="H1303" s="144"/>
      <c r="J1303" s="145"/>
      <c r="K1303" s="148"/>
      <c r="L1303" s="149"/>
    </row>
    <row r="1304" spans="1:12" s="17" customFormat="1" x14ac:dyDescent="0.25">
      <c r="A1304" s="229"/>
      <c r="B1304" s="55"/>
      <c r="C1304" s="55"/>
      <c r="D1304" s="55"/>
      <c r="G1304" s="202"/>
      <c r="H1304" s="144"/>
      <c r="J1304" s="145"/>
      <c r="K1304" s="148"/>
      <c r="L1304" s="149"/>
    </row>
    <row r="1305" spans="1:12" s="17" customFormat="1" x14ac:dyDescent="0.25">
      <c r="A1305" s="229"/>
      <c r="B1305" s="55"/>
      <c r="C1305" s="55"/>
      <c r="D1305" s="55"/>
      <c r="G1305" s="202"/>
      <c r="H1305" s="144"/>
      <c r="J1305" s="145"/>
      <c r="K1305" s="148"/>
      <c r="L1305" s="149"/>
    </row>
    <row r="1306" spans="1:12" s="17" customFormat="1" x14ac:dyDescent="0.25">
      <c r="A1306" s="229"/>
      <c r="B1306" s="55"/>
      <c r="C1306" s="55"/>
      <c r="D1306" s="55"/>
      <c r="G1306" s="202"/>
      <c r="H1306" s="144"/>
      <c r="J1306" s="145"/>
      <c r="K1306" s="148"/>
      <c r="L1306" s="149"/>
    </row>
    <row r="1307" spans="1:12" s="17" customFormat="1" x14ac:dyDescent="0.25">
      <c r="A1307" s="229"/>
      <c r="B1307" s="55"/>
      <c r="C1307" s="55"/>
      <c r="D1307" s="55"/>
      <c r="G1307" s="202"/>
      <c r="H1307" s="144"/>
      <c r="J1307" s="145"/>
      <c r="K1307" s="148"/>
      <c r="L1307" s="149"/>
    </row>
    <row r="1308" spans="1:12" s="17" customFormat="1" x14ac:dyDescent="0.25">
      <c r="A1308" s="229"/>
      <c r="B1308" s="55"/>
      <c r="C1308" s="55"/>
      <c r="D1308" s="55"/>
      <c r="G1308" s="202"/>
      <c r="H1308" s="144"/>
      <c r="J1308" s="145"/>
      <c r="K1308" s="148"/>
      <c r="L1308" s="149"/>
    </row>
    <row r="1309" spans="1:12" s="17" customFormat="1" x14ac:dyDescent="0.25">
      <c r="A1309" s="229"/>
      <c r="B1309" s="55"/>
      <c r="C1309" s="55"/>
      <c r="D1309" s="55"/>
      <c r="G1309" s="202"/>
      <c r="H1309" s="144"/>
      <c r="J1309" s="145"/>
      <c r="K1309" s="148"/>
      <c r="L1309" s="149"/>
    </row>
    <row r="1310" spans="1:12" s="17" customFormat="1" x14ac:dyDescent="0.25">
      <c r="A1310" s="229"/>
      <c r="B1310" s="55"/>
      <c r="C1310" s="55"/>
      <c r="D1310" s="55"/>
      <c r="G1310" s="202"/>
      <c r="H1310" s="144"/>
      <c r="J1310" s="145"/>
      <c r="K1310" s="148"/>
      <c r="L1310" s="149"/>
    </row>
    <row r="1311" spans="1:12" s="17" customFormat="1" x14ac:dyDescent="0.25">
      <c r="A1311" s="229"/>
      <c r="B1311" s="55"/>
      <c r="C1311" s="55"/>
      <c r="D1311" s="55"/>
      <c r="G1311" s="202"/>
      <c r="H1311" s="144"/>
      <c r="J1311" s="145"/>
      <c r="K1311" s="148"/>
      <c r="L1311" s="149"/>
    </row>
    <row r="1312" spans="1:12" s="17" customFormat="1" x14ac:dyDescent="0.25">
      <c r="A1312" s="229"/>
      <c r="B1312" s="55"/>
      <c r="C1312" s="55"/>
      <c r="D1312" s="55"/>
      <c r="G1312" s="202"/>
      <c r="H1312" s="144"/>
      <c r="J1312" s="145"/>
      <c r="K1312" s="148"/>
      <c r="L1312" s="149"/>
    </row>
    <row r="1313" spans="1:12" s="17" customFormat="1" x14ac:dyDescent="0.25">
      <c r="A1313" s="229"/>
      <c r="B1313" s="55"/>
      <c r="C1313" s="55"/>
      <c r="D1313" s="55"/>
      <c r="G1313" s="202"/>
      <c r="H1313" s="144"/>
      <c r="J1313" s="145"/>
      <c r="K1313" s="148"/>
      <c r="L1313" s="149"/>
    </row>
    <row r="1314" spans="1:12" s="17" customFormat="1" x14ac:dyDescent="0.25">
      <c r="A1314" s="229"/>
      <c r="B1314" s="55"/>
      <c r="C1314" s="55"/>
      <c r="D1314" s="55"/>
      <c r="G1314" s="202"/>
      <c r="H1314" s="144"/>
      <c r="J1314" s="145"/>
      <c r="K1314" s="148"/>
      <c r="L1314" s="149"/>
    </row>
    <row r="1315" spans="1:12" s="17" customFormat="1" x14ac:dyDescent="0.25">
      <c r="A1315" s="229"/>
      <c r="B1315" s="55"/>
      <c r="C1315" s="55"/>
      <c r="D1315" s="55"/>
      <c r="G1315" s="202"/>
      <c r="H1315" s="144"/>
      <c r="J1315" s="145"/>
      <c r="K1315" s="148"/>
      <c r="L1315" s="149"/>
    </row>
    <row r="1316" spans="1:12" s="17" customFormat="1" x14ac:dyDescent="0.25">
      <c r="A1316" s="229"/>
      <c r="B1316" s="55"/>
      <c r="C1316" s="55"/>
      <c r="D1316" s="55"/>
      <c r="G1316" s="202"/>
      <c r="H1316" s="144"/>
      <c r="J1316" s="145"/>
      <c r="K1316" s="148"/>
      <c r="L1316" s="149"/>
    </row>
    <row r="1317" spans="1:12" s="17" customFormat="1" x14ac:dyDescent="0.25">
      <c r="A1317" s="229"/>
      <c r="B1317" s="55"/>
      <c r="C1317" s="55"/>
      <c r="D1317" s="55"/>
      <c r="G1317" s="202"/>
      <c r="H1317" s="144"/>
      <c r="J1317" s="145"/>
      <c r="K1317" s="148"/>
      <c r="L1317" s="149"/>
    </row>
    <row r="1318" spans="1:12" s="17" customFormat="1" x14ac:dyDescent="0.25">
      <c r="A1318" s="229"/>
      <c r="B1318" s="55"/>
      <c r="C1318" s="55"/>
      <c r="D1318" s="55"/>
      <c r="G1318" s="202"/>
      <c r="H1318" s="144"/>
      <c r="J1318" s="145"/>
      <c r="K1318" s="148"/>
      <c r="L1318" s="149"/>
    </row>
    <row r="1319" spans="1:12" s="17" customFormat="1" x14ac:dyDescent="0.25">
      <c r="A1319" s="229"/>
      <c r="B1319" s="55"/>
      <c r="C1319" s="55"/>
      <c r="D1319" s="55"/>
      <c r="G1319" s="202"/>
      <c r="H1319" s="144"/>
      <c r="J1319" s="145"/>
      <c r="K1319" s="148"/>
      <c r="L1319" s="149"/>
    </row>
    <row r="1320" spans="1:12" s="17" customFormat="1" x14ac:dyDescent="0.25">
      <c r="A1320" s="229"/>
      <c r="B1320" s="55"/>
      <c r="C1320" s="55"/>
      <c r="D1320" s="55"/>
      <c r="G1320" s="202"/>
      <c r="H1320" s="144"/>
      <c r="J1320" s="145"/>
      <c r="K1320" s="148"/>
      <c r="L1320" s="149"/>
    </row>
    <row r="1321" spans="1:12" s="17" customFormat="1" x14ac:dyDescent="0.25">
      <c r="A1321" s="229"/>
      <c r="B1321" s="55"/>
      <c r="C1321" s="55"/>
      <c r="D1321" s="55"/>
      <c r="G1321" s="202"/>
      <c r="H1321" s="144"/>
      <c r="J1321" s="145"/>
      <c r="K1321" s="148"/>
      <c r="L1321" s="149"/>
    </row>
    <row r="1322" spans="1:12" s="17" customFormat="1" x14ac:dyDescent="0.25">
      <c r="A1322" s="229"/>
      <c r="B1322" s="55"/>
      <c r="C1322" s="55"/>
      <c r="D1322" s="55"/>
      <c r="G1322" s="202"/>
      <c r="H1322" s="144"/>
      <c r="J1322" s="145"/>
      <c r="K1322" s="148"/>
      <c r="L1322" s="149"/>
    </row>
    <row r="1323" spans="1:12" s="17" customFormat="1" x14ac:dyDescent="0.25">
      <c r="A1323" s="229"/>
      <c r="B1323" s="55"/>
      <c r="C1323" s="55"/>
      <c r="D1323" s="55"/>
      <c r="G1323" s="202"/>
      <c r="H1323" s="144"/>
      <c r="J1323" s="145"/>
      <c r="K1323" s="148"/>
      <c r="L1323" s="149"/>
    </row>
    <row r="1324" spans="1:12" s="17" customFormat="1" x14ac:dyDescent="0.25">
      <c r="A1324" s="229"/>
      <c r="B1324" s="55"/>
      <c r="C1324" s="55"/>
      <c r="D1324" s="55"/>
      <c r="G1324" s="202"/>
      <c r="H1324" s="144"/>
      <c r="J1324" s="145"/>
      <c r="K1324" s="148"/>
      <c r="L1324" s="149"/>
    </row>
    <row r="1325" spans="1:12" s="17" customFormat="1" x14ac:dyDescent="0.25">
      <c r="A1325" s="229"/>
      <c r="B1325" s="55"/>
      <c r="C1325" s="55"/>
      <c r="D1325" s="55"/>
      <c r="G1325" s="202"/>
      <c r="H1325" s="144"/>
      <c r="J1325" s="145"/>
      <c r="K1325" s="148"/>
      <c r="L1325" s="149"/>
    </row>
    <row r="1326" spans="1:12" s="17" customFormat="1" x14ac:dyDescent="0.25">
      <c r="A1326" s="229"/>
      <c r="B1326" s="55"/>
      <c r="C1326" s="55"/>
      <c r="D1326" s="55"/>
      <c r="G1326" s="202"/>
      <c r="H1326" s="144"/>
      <c r="J1326" s="145"/>
      <c r="K1326" s="148"/>
      <c r="L1326" s="149"/>
    </row>
    <row r="1327" spans="1:12" s="17" customFormat="1" x14ac:dyDescent="0.25">
      <c r="A1327" s="229"/>
      <c r="B1327" s="55"/>
      <c r="C1327" s="55"/>
      <c r="D1327" s="55"/>
      <c r="G1327" s="202"/>
      <c r="H1327" s="144"/>
      <c r="J1327" s="145"/>
      <c r="K1327" s="148"/>
      <c r="L1327" s="149"/>
    </row>
    <row r="1328" spans="1:12" s="17" customFormat="1" x14ac:dyDescent="0.25">
      <c r="A1328" s="229"/>
      <c r="B1328" s="55"/>
      <c r="C1328" s="55"/>
      <c r="D1328" s="55"/>
      <c r="G1328" s="202"/>
      <c r="H1328" s="144"/>
      <c r="J1328" s="145"/>
      <c r="K1328" s="148"/>
      <c r="L1328" s="149"/>
    </row>
    <row r="1329" spans="1:12" s="17" customFormat="1" x14ac:dyDescent="0.25">
      <c r="A1329" s="229"/>
      <c r="B1329" s="55"/>
      <c r="C1329" s="55"/>
      <c r="D1329" s="55"/>
      <c r="G1329" s="202"/>
      <c r="H1329" s="144"/>
      <c r="J1329" s="145"/>
      <c r="K1329" s="148"/>
      <c r="L1329" s="149"/>
    </row>
    <row r="1330" spans="1:12" s="17" customFormat="1" x14ac:dyDescent="0.25">
      <c r="A1330" s="229"/>
      <c r="B1330" s="55"/>
      <c r="C1330" s="55"/>
      <c r="D1330" s="55"/>
      <c r="G1330" s="202"/>
      <c r="H1330" s="144"/>
      <c r="J1330" s="145"/>
      <c r="K1330" s="148"/>
      <c r="L1330" s="149"/>
    </row>
    <row r="1331" spans="1:12" s="17" customFormat="1" x14ac:dyDescent="0.25">
      <c r="A1331" s="229"/>
      <c r="B1331" s="55"/>
      <c r="C1331" s="55"/>
      <c r="D1331" s="55"/>
      <c r="G1331" s="202"/>
      <c r="H1331" s="144"/>
      <c r="J1331" s="145"/>
      <c r="K1331" s="148"/>
      <c r="L1331" s="149"/>
    </row>
    <row r="1332" spans="1:12" s="17" customFormat="1" x14ac:dyDescent="0.25">
      <c r="A1332" s="229"/>
      <c r="B1332" s="55"/>
      <c r="C1332" s="55"/>
      <c r="D1332" s="55"/>
      <c r="G1332" s="202"/>
      <c r="H1332" s="144"/>
      <c r="J1332" s="145"/>
      <c r="K1332" s="148"/>
      <c r="L1332" s="149"/>
    </row>
    <row r="1333" spans="1:12" s="17" customFormat="1" x14ac:dyDescent="0.25">
      <c r="A1333" s="229"/>
      <c r="B1333" s="55"/>
      <c r="C1333" s="55"/>
      <c r="D1333" s="55"/>
      <c r="G1333" s="202"/>
      <c r="H1333" s="144"/>
      <c r="J1333" s="145"/>
      <c r="K1333" s="148"/>
      <c r="L1333" s="149"/>
    </row>
    <row r="1334" spans="1:12" s="17" customFormat="1" x14ac:dyDescent="0.25">
      <c r="A1334" s="229"/>
      <c r="B1334" s="55"/>
      <c r="C1334" s="55"/>
      <c r="D1334" s="55"/>
      <c r="G1334" s="202"/>
      <c r="H1334" s="144"/>
      <c r="J1334" s="145"/>
      <c r="K1334" s="148"/>
      <c r="L1334" s="149"/>
    </row>
    <row r="1335" spans="1:12" s="17" customFormat="1" x14ac:dyDescent="0.25">
      <c r="A1335" s="229"/>
      <c r="B1335" s="55"/>
      <c r="C1335" s="55"/>
      <c r="D1335" s="55"/>
      <c r="G1335" s="202"/>
      <c r="H1335" s="144"/>
      <c r="J1335" s="145"/>
      <c r="K1335" s="148"/>
      <c r="L1335" s="149"/>
    </row>
    <row r="1336" spans="1:12" s="17" customFormat="1" x14ac:dyDescent="0.25">
      <c r="A1336" s="229"/>
      <c r="B1336" s="55"/>
      <c r="C1336" s="55"/>
      <c r="D1336" s="55"/>
      <c r="G1336" s="202"/>
      <c r="H1336" s="144"/>
      <c r="J1336" s="145"/>
      <c r="K1336" s="148"/>
      <c r="L1336" s="149"/>
    </row>
    <row r="1337" spans="1:12" s="17" customFormat="1" x14ac:dyDescent="0.25">
      <c r="A1337" s="229"/>
      <c r="B1337" s="55"/>
      <c r="C1337" s="55"/>
      <c r="D1337" s="55"/>
      <c r="G1337" s="202"/>
      <c r="H1337" s="144"/>
      <c r="J1337" s="145"/>
      <c r="K1337" s="148"/>
      <c r="L1337" s="149"/>
    </row>
    <row r="1338" spans="1:12" s="17" customFormat="1" x14ac:dyDescent="0.25">
      <c r="A1338" s="229"/>
      <c r="B1338" s="55"/>
      <c r="C1338" s="55"/>
      <c r="D1338" s="55"/>
      <c r="G1338" s="202"/>
      <c r="H1338" s="144"/>
      <c r="J1338" s="145"/>
      <c r="K1338" s="148"/>
      <c r="L1338" s="149"/>
    </row>
    <row r="1339" spans="1:12" s="17" customFormat="1" x14ac:dyDescent="0.25">
      <c r="A1339" s="229"/>
      <c r="B1339" s="55"/>
      <c r="C1339" s="55"/>
      <c r="D1339" s="55"/>
      <c r="G1339" s="202"/>
      <c r="H1339" s="144"/>
      <c r="J1339" s="145"/>
      <c r="K1339" s="148"/>
      <c r="L1339" s="149"/>
    </row>
    <row r="1340" spans="1:12" s="17" customFormat="1" x14ac:dyDescent="0.25">
      <c r="A1340" s="229"/>
      <c r="B1340" s="55"/>
      <c r="C1340" s="55"/>
      <c r="D1340" s="55"/>
      <c r="G1340" s="202"/>
      <c r="H1340" s="144"/>
      <c r="J1340" s="145"/>
      <c r="K1340" s="148"/>
      <c r="L1340" s="149"/>
    </row>
    <row r="1341" spans="1:12" s="17" customFormat="1" x14ac:dyDescent="0.25">
      <c r="A1341" s="229"/>
      <c r="B1341" s="55"/>
      <c r="C1341" s="55"/>
      <c r="D1341" s="55"/>
      <c r="G1341" s="202"/>
      <c r="H1341" s="144"/>
      <c r="J1341" s="145"/>
      <c r="K1341" s="148"/>
      <c r="L1341" s="149"/>
    </row>
    <row r="1342" spans="1:12" s="17" customFormat="1" x14ac:dyDescent="0.25">
      <c r="A1342" s="229"/>
      <c r="B1342" s="55"/>
      <c r="C1342" s="55"/>
      <c r="D1342" s="55"/>
      <c r="G1342" s="202"/>
      <c r="H1342" s="144"/>
      <c r="J1342" s="145"/>
      <c r="K1342" s="148"/>
      <c r="L1342" s="149"/>
    </row>
    <row r="1343" spans="1:12" s="17" customFormat="1" x14ac:dyDescent="0.25">
      <c r="A1343" s="229"/>
      <c r="B1343" s="55"/>
      <c r="C1343" s="55"/>
      <c r="D1343" s="55"/>
      <c r="G1343" s="202"/>
      <c r="H1343" s="144"/>
      <c r="J1343" s="145"/>
      <c r="K1343" s="148"/>
      <c r="L1343" s="149"/>
    </row>
    <row r="1344" spans="1:12" s="17" customFormat="1" x14ac:dyDescent="0.25">
      <c r="A1344" s="229"/>
      <c r="B1344" s="55"/>
      <c r="C1344" s="55"/>
      <c r="D1344" s="55"/>
      <c r="G1344" s="202"/>
      <c r="H1344" s="144"/>
      <c r="J1344" s="145"/>
      <c r="K1344" s="148"/>
      <c r="L1344" s="149"/>
    </row>
    <row r="1345" spans="1:12" s="17" customFormat="1" x14ac:dyDescent="0.25">
      <c r="A1345" s="229"/>
      <c r="B1345" s="55"/>
      <c r="C1345" s="55"/>
      <c r="D1345" s="55"/>
      <c r="G1345" s="202"/>
      <c r="H1345" s="144"/>
      <c r="J1345" s="145"/>
      <c r="K1345" s="148"/>
      <c r="L1345" s="149"/>
    </row>
    <row r="1346" spans="1:12" s="17" customFormat="1" x14ac:dyDescent="0.25">
      <c r="A1346" s="229"/>
      <c r="B1346" s="55"/>
      <c r="C1346" s="55"/>
      <c r="D1346" s="55"/>
      <c r="G1346" s="202"/>
      <c r="H1346" s="144"/>
      <c r="J1346" s="145"/>
      <c r="K1346" s="148"/>
      <c r="L1346" s="149"/>
    </row>
    <row r="1347" spans="1:12" s="17" customFormat="1" x14ac:dyDescent="0.25">
      <c r="A1347" s="229"/>
      <c r="B1347" s="55"/>
      <c r="C1347" s="55"/>
      <c r="D1347" s="55"/>
      <c r="G1347" s="202"/>
      <c r="H1347" s="144"/>
      <c r="J1347" s="145"/>
      <c r="K1347" s="148"/>
      <c r="L1347" s="149"/>
    </row>
    <row r="1348" spans="1:12" s="17" customFormat="1" x14ac:dyDescent="0.25">
      <c r="A1348" s="229"/>
      <c r="B1348" s="55"/>
      <c r="C1348" s="55"/>
      <c r="D1348" s="55"/>
      <c r="G1348" s="202"/>
      <c r="H1348" s="144"/>
      <c r="J1348" s="145"/>
      <c r="K1348" s="148"/>
      <c r="L1348" s="149"/>
    </row>
    <row r="1349" spans="1:12" s="17" customFormat="1" x14ac:dyDescent="0.25">
      <c r="A1349" s="229"/>
      <c r="B1349" s="55"/>
      <c r="C1349" s="55"/>
      <c r="D1349" s="55"/>
      <c r="G1349" s="202"/>
      <c r="H1349" s="144"/>
      <c r="J1349" s="145"/>
      <c r="K1349" s="148"/>
      <c r="L1349" s="149"/>
    </row>
    <row r="1350" spans="1:12" s="17" customFormat="1" x14ac:dyDescent="0.25">
      <c r="A1350" s="229"/>
      <c r="B1350" s="55"/>
      <c r="C1350" s="55"/>
      <c r="D1350" s="55"/>
      <c r="G1350" s="202"/>
      <c r="H1350" s="144"/>
      <c r="J1350" s="145"/>
      <c r="K1350" s="148"/>
      <c r="L1350" s="149"/>
    </row>
    <row r="1351" spans="1:12" s="17" customFormat="1" x14ac:dyDescent="0.25">
      <c r="A1351" s="229"/>
      <c r="B1351" s="55"/>
      <c r="C1351" s="55"/>
      <c r="D1351" s="55"/>
      <c r="G1351" s="202"/>
      <c r="H1351" s="144"/>
      <c r="J1351" s="145"/>
      <c r="K1351" s="148"/>
      <c r="L1351" s="149"/>
    </row>
    <row r="1352" spans="1:12" s="17" customFormat="1" x14ac:dyDescent="0.25">
      <c r="A1352" s="229"/>
      <c r="B1352" s="55"/>
      <c r="C1352" s="55"/>
      <c r="D1352" s="55"/>
      <c r="G1352" s="202"/>
      <c r="H1352" s="144"/>
      <c r="J1352" s="145"/>
      <c r="K1352" s="148"/>
      <c r="L1352" s="149"/>
    </row>
    <row r="1353" spans="1:12" s="17" customFormat="1" x14ac:dyDescent="0.25">
      <c r="A1353" s="229"/>
      <c r="B1353" s="55"/>
      <c r="C1353" s="55"/>
      <c r="D1353" s="55"/>
      <c r="G1353" s="202"/>
      <c r="H1353" s="144"/>
      <c r="J1353" s="145"/>
      <c r="K1353" s="148"/>
      <c r="L1353" s="149"/>
    </row>
    <row r="1354" spans="1:12" s="17" customFormat="1" x14ac:dyDescent="0.25">
      <c r="A1354" s="229"/>
      <c r="B1354" s="55"/>
      <c r="C1354" s="55"/>
      <c r="D1354" s="55"/>
      <c r="G1354" s="202"/>
      <c r="H1354" s="144"/>
      <c r="J1354" s="145"/>
      <c r="K1354" s="148"/>
      <c r="L1354" s="149"/>
    </row>
    <row r="1355" spans="1:12" s="17" customFormat="1" x14ac:dyDescent="0.25">
      <c r="A1355" s="229"/>
      <c r="B1355" s="55"/>
      <c r="C1355" s="55"/>
      <c r="D1355" s="55"/>
      <c r="G1355" s="202"/>
      <c r="H1355" s="144"/>
      <c r="J1355" s="145"/>
      <c r="K1355" s="148"/>
      <c r="L1355" s="149"/>
    </row>
    <row r="1356" spans="1:12" s="17" customFormat="1" x14ac:dyDescent="0.25">
      <c r="A1356" s="229"/>
      <c r="B1356" s="55"/>
      <c r="C1356" s="55"/>
      <c r="D1356" s="55"/>
      <c r="G1356" s="202"/>
      <c r="H1356" s="144"/>
      <c r="J1356" s="145"/>
      <c r="K1356" s="148"/>
      <c r="L1356" s="149"/>
    </row>
    <row r="1357" spans="1:12" s="17" customFormat="1" x14ac:dyDescent="0.25">
      <c r="A1357" s="229"/>
      <c r="B1357" s="55"/>
      <c r="C1357" s="55"/>
      <c r="D1357" s="55"/>
      <c r="G1357" s="202"/>
      <c r="H1357" s="144"/>
      <c r="J1357" s="145"/>
      <c r="K1357" s="148"/>
      <c r="L1357" s="149"/>
    </row>
    <row r="1358" spans="1:12" s="17" customFormat="1" x14ac:dyDescent="0.25">
      <c r="A1358" s="229"/>
      <c r="B1358" s="55"/>
      <c r="C1358" s="55"/>
      <c r="D1358" s="55"/>
      <c r="G1358" s="202"/>
      <c r="H1358" s="144"/>
      <c r="J1358" s="145"/>
      <c r="K1358" s="148"/>
      <c r="L1358" s="149"/>
    </row>
    <row r="1359" spans="1:12" s="17" customFormat="1" x14ac:dyDescent="0.25">
      <c r="A1359" s="229"/>
      <c r="B1359" s="55"/>
      <c r="C1359" s="55"/>
      <c r="D1359" s="55"/>
      <c r="G1359" s="202"/>
      <c r="H1359" s="144"/>
      <c r="J1359" s="145"/>
      <c r="K1359" s="148"/>
      <c r="L1359" s="149"/>
    </row>
    <row r="1360" spans="1:12" s="17" customFormat="1" x14ac:dyDescent="0.25">
      <c r="A1360" s="229"/>
      <c r="B1360" s="55"/>
      <c r="C1360" s="55"/>
      <c r="D1360" s="55"/>
      <c r="G1360" s="202"/>
      <c r="H1360" s="144"/>
      <c r="J1360" s="145"/>
      <c r="K1360" s="148"/>
      <c r="L1360" s="149"/>
    </row>
    <row r="1361" spans="1:12" s="17" customFormat="1" x14ac:dyDescent="0.25">
      <c r="A1361" s="229"/>
      <c r="B1361" s="55"/>
      <c r="C1361" s="55"/>
      <c r="D1361" s="55"/>
      <c r="G1361" s="202"/>
      <c r="H1361" s="144"/>
      <c r="J1361" s="145"/>
      <c r="K1361" s="148"/>
      <c r="L1361" s="149"/>
    </row>
    <row r="1362" spans="1:12" s="17" customFormat="1" x14ac:dyDescent="0.25">
      <c r="A1362" s="229"/>
      <c r="B1362" s="55"/>
      <c r="C1362" s="55"/>
      <c r="D1362" s="55"/>
      <c r="G1362" s="202"/>
      <c r="H1362" s="144"/>
      <c r="J1362" s="145"/>
      <c r="K1362" s="148"/>
      <c r="L1362" s="149"/>
    </row>
    <row r="1363" spans="1:12" s="17" customFormat="1" x14ac:dyDescent="0.25">
      <c r="A1363" s="229"/>
      <c r="B1363" s="55"/>
      <c r="C1363" s="55"/>
      <c r="D1363" s="55"/>
      <c r="G1363" s="202"/>
      <c r="H1363" s="144"/>
      <c r="J1363" s="145"/>
      <c r="K1363" s="148"/>
      <c r="L1363" s="149"/>
    </row>
    <row r="1364" spans="1:12" s="17" customFormat="1" x14ac:dyDescent="0.25">
      <c r="A1364" s="229"/>
      <c r="B1364" s="55"/>
      <c r="C1364" s="55"/>
      <c r="D1364" s="55"/>
      <c r="G1364" s="202"/>
      <c r="H1364" s="144"/>
      <c r="J1364" s="145"/>
      <c r="K1364" s="148"/>
      <c r="L1364" s="149"/>
    </row>
    <row r="1365" spans="1:12" s="17" customFormat="1" x14ac:dyDescent="0.25">
      <c r="A1365" s="229"/>
      <c r="B1365" s="55"/>
      <c r="C1365" s="55"/>
      <c r="D1365" s="55"/>
      <c r="G1365" s="202"/>
      <c r="H1365" s="144"/>
      <c r="J1365" s="145"/>
      <c r="K1365" s="148"/>
      <c r="L1365" s="149"/>
    </row>
    <row r="1366" spans="1:12" s="17" customFormat="1" x14ac:dyDescent="0.25">
      <c r="A1366" s="229"/>
      <c r="B1366" s="55"/>
      <c r="C1366" s="55"/>
      <c r="D1366" s="55"/>
      <c r="G1366" s="202"/>
      <c r="H1366" s="144"/>
      <c r="J1366" s="145"/>
      <c r="K1366" s="148"/>
      <c r="L1366" s="149"/>
    </row>
    <row r="1367" spans="1:12" s="17" customFormat="1" x14ac:dyDescent="0.25">
      <c r="A1367" s="229"/>
      <c r="B1367" s="55"/>
      <c r="C1367" s="55"/>
      <c r="D1367" s="55"/>
      <c r="G1367" s="202"/>
      <c r="H1367" s="144"/>
      <c r="J1367" s="145"/>
      <c r="K1367" s="148"/>
      <c r="L1367" s="149"/>
    </row>
    <row r="1368" spans="1:12" s="17" customFormat="1" x14ac:dyDescent="0.25">
      <c r="A1368" s="229"/>
      <c r="B1368" s="55"/>
      <c r="C1368" s="55"/>
      <c r="D1368" s="55"/>
      <c r="G1368" s="202"/>
      <c r="H1368" s="144"/>
      <c r="J1368" s="145"/>
      <c r="K1368" s="148"/>
      <c r="L1368" s="149"/>
    </row>
    <row r="1369" spans="1:12" s="17" customFormat="1" x14ac:dyDescent="0.25">
      <c r="A1369" s="229"/>
      <c r="B1369" s="55"/>
      <c r="C1369" s="55"/>
      <c r="D1369" s="55"/>
      <c r="G1369" s="202"/>
      <c r="H1369" s="144"/>
      <c r="J1369" s="145"/>
      <c r="K1369" s="148"/>
      <c r="L1369" s="149"/>
    </row>
    <row r="1370" spans="1:12" s="17" customFormat="1" x14ac:dyDescent="0.25">
      <c r="A1370" s="229"/>
      <c r="B1370" s="55"/>
      <c r="C1370" s="55"/>
      <c r="D1370" s="55"/>
      <c r="G1370" s="202"/>
      <c r="H1370" s="144"/>
      <c r="J1370" s="145"/>
      <c r="K1370" s="148"/>
      <c r="L1370" s="149"/>
    </row>
    <row r="1371" spans="1:12" s="17" customFormat="1" x14ac:dyDescent="0.25">
      <c r="A1371" s="229"/>
      <c r="B1371" s="55"/>
      <c r="C1371" s="55"/>
      <c r="D1371" s="55"/>
      <c r="G1371" s="202"/>
      <c r="H1371" s="144"/>
      <c r="J1371" s="145"/>
      <c r="K1371" s="148"/>
      <c r="L1371" s="149"/>
    </row>
    <row r="1372" spans="1:12" s="17" customFormat="1" x14ac:dyDescent="0.25">
      <c r="A1372" s="229"/>
      <c r="B1372" s="55"/>
      <c r="C1372" s="55"/>
      <c r="D1372" s="55"/>
      <c r="G1372" s="202"/>
      <c r="H1372" s="144"/>
      <c r="J1372" s="145"/>
      <c r="K1372" s="148"/>
      <c r="L1372" s="149"/>
    </row>
    <row r="1373" spans="1:12" s="17" customFormat="1" x14ac:dyDescent="0.25">
      <c r="A1373" s="229"/>
      <c r="B1373" s="55"/>
      <c r="C1373" s="55"/>
      <c r="D1373" s="55"/>
      <c r="G1373" s="202"/>
      <c r="H1373" s="144"/>
      <c r="J1373" s="145"/>
      <c r="K1373" s="148"/>
      <c r="L1373" s="149"/>
    </row>
    <row r="1374" spans="1:12" s="17" customFormat="1" x14ac:dyDescent="0.25">
      <c r="A1374" s="229"/>
      <c r="B1374" s="55"/>
      <c r="C1374" s="55"/>
      <c r="D1374" s="55"/>
      <c r="G1374" s="202"/>
      <c r="H1374" s="144"/>
      <c r="J1374" s="145"/>
      <c r="K1374" s="148"/>
      <c r="L1374" s="149"/>
    </row>
    <row r="1375" spans="1:12" s="17" customFormat="1" x14ac:dyDescent="0.25">
      <c r="A1375" s="229"/>
      <c r="B1375" s="55"/>
      <c r="C1375" s="55"/>
      <c r="D1375" s="55"/>
      <c r="G1375" s="202"/>
      <c r="H1375" s="144"/>
      <c r="J1375" s="145"/>
      <c r="K1375" s="148"/>
      <c r="L1375" s="149"/>
    </row>
    <row r="1376" spans="1:12" s="17" customFormat="1" x14ac:dyDescent="0.25">
      <c r="A1376" s="229"/>
      <c r="B1376" s="55"/>
      <c r="C1376" s="55"/>
      <c r="D1376" s="55"/>
      <c r="G1376" s="202"/>
      <c r="H1376" s="144"/>
      <c r="J1376" s="145"/>
      <c r="K1376" s="148"/>
      <c r="L1376" s="149"/>
    </row>
    <row r="1377" spans="1:12" s="17" customFormat="1" x14ac:dyDescent="0.25">
      <c r="A1377" s="229"/>
      <c r="B1377" s="55"/>
      <c r="C1377" s="55"/>
      <c r="D1377" s="55"/>
      <c r="G1377" s="202"/>
      <c r="H1377" s="144"/>
      <c r="J1377" s="145"/>
      <c r="K1377" s="148"/>
      <c r="L1377" s="149"/>
    </row>
    <row r="1378" spans="1:12" s="17" customFormat="1" x14ac:dyDescent="0.25">
      <c r="A1378" s="229"/>
      <c r="B1378" s="55"/>
      <c r="C1378" s="55"/>
      <c r="D1378" s="55"/>
      <c r="G1378" s="202"/>
      <c r="H1378" s="144"/>
      <c r="J1378" s="145"/>
      <c r="K1378" s="148"/>
      <c r="L1378" s="149"/>
    </row>
    <row r="1379" spans="1:12" s="17" customFormat="1" x14ac:dyDescent="0.25">
      <c r="A1379" s="229"/>
      <c r="B1379" s="55"/>
      <c r="C1379" s="55"/>
      <c r="D1379" s="55"/>
      <c r="G1379" s="202"/>
      <c r="H1379" s="144"/>
      <c r="J1379" s="145"/>
      <c r="K1379" s="148"/>
      <c r="L1379" s="149"/>
    </row>
    <row r="1380" spans="1:12" s="17" customFormat="1" x14ac:dyDescent="0.25">
      <c r="A1380" s="229"/>
      <c r="B1380" s="55"/>
      <c r="C1380" s="55"/>
      <c r="D1380" s="55"/>
      <c r="G1380" s="202"/>
      <c r="H1380" s="144"/>
      <c r="J1380" s="145"/>
      <c r="K1380" s="148"/>
      <c r="L1380" s="149"/>
    </row>
    <row r="1381" spans="1:12" s="17" customFormat="1" x14ac:dyDescent="0.25">
      <c r="A1381" s="229"/>
      <c r="B1381" s="55"/>
      <c r="C1381" s="55"/>
      <c r="D1381" s="55"/>
      <c r="G1381" s="202"/>
      <c r="H1381" s="144"/>
      <c r="J1381" s="145"/>
      <c r="K1381" s="148"/>
      <c r="L1381" s="149"/>
    </row>
    <row r="1382" spans="1:12" s="17" customFormat="1" x14ac:dyDescent="0.25">
      <c r="A1382" s="229"/>
      <c r="B1382" s="55"/>
      <c r="C1382" s="55"/>
      <c r="D1382" s="55"/>
      <c r="G1382" s="202"/>
      <c r="H1382" s="144"/>
      <c r="J1382" s="145"/>
      <c r="K1382" s="148"/>
      <c r="L1382" s="149"/>
    </row>
    <row r="1383" spans="1:12" s="17" customFormat="1" x14ac:dyDescent="0.25">
      <c r="A1383" s="229"/>
      <c r="B1383" s="55"/>
      <c r="C1383" s="55"/>
      <c r="D1383" s="55"/>
      <c r="G1383" s="202"/>
      <c r="H1383" s="144"/>
      <c r="J1383" s="145"/>
      <c r="K1383" s="148"/>
      <c r="L1383" s="149"/>
    </row>
    <row r="1384" spans="1:12" s="17" customFormat="1" x14ac:dyDescent="0.25">
      <c r="A1384" s="229"/>
      <c r="B1384" s="55"/>
      <c r="C1384" s="55"/>
      <c r="D1384" s="55"/>
      <c r="G1384" s="202"/>
      <c r="H1384" s="144"/>
      <c r="J1384" s="145"/>
      <c r="K1384" s="148"/>
      <c r="L1384" s="149"/>
    </row>
    <row r="1385" spans="1:12" s="17" customFormat="1" x14ac:dyDescent="0.25">
      <c r="A1385" s="229"/>
      <c r="B1385" s="55"/>
      <c r="C1385" s="55"/>
      <c r="D1385" s="55"/>
      <c r="G1385" s="202"/>
      <c r="H1385" s="144"/>
      <c r="J1385" s="145"/>
      <c r="K1385" s="148"/>
      <c r="L1385" s="149"/>
    </row>
    <row r="1386" spans="1:12" s="17" customFormat="1" x14ac:dyDescent="0.25">
      <c r="A1386" s="229"/>
      <c r="B1386" s="55"/>
      <c r="C1386" s="55"/>
      <c r="D1386" s="55"/>
      <c r="G1386" s="202"/>
      <c r="H1386" s="144"/>
      <c r="J1386" s="145"/>
      <c r="K1386" s="148"/>
      <c r="L1386" s="149"/>
    </row>
    <row r="1387" spans="1:12" s="17" customFormat="1" x14ac:dyDescent="0.25">
      <c r="A1387" s="229"/>
      <c r="B1387" s="55"/>
      <c r="C1387" s="55"/>
      <c r="D1387" s="55"/>
      <c r="G1387" s="202"/>
      <c r="H1387" s="144"/>
      <c r="J1387" s="145"/>
      <c r="K1387" s="148"/>
      <c r="L1387" s="149"/>
    </row>
    <row r="1388" spans="1:12" s="17" customFormat="1" x14ac:dyDescent="0.25">
      <c r="A1388" s="229"/>
      <c r="B1388" s="55"/>
      <c r="C1388" s="55"/>
      <c r="D1388" s="55"/>
      <c r="G1388" s="202"/>
      <c r="H1388" s="144"/>
      <c r="J1388" s="145"/>
      <c r="K1388" s="148"/>
      <c r="L1388" s="149"/>
    </row>
    <row r="1389" spans="1:12" s="17" customFormat="1" x14ac:dyDescent="0.25">
      <c r="A1389" s="229"/>
      <c r="B1389" s="55"/>
      <c r="C1389" s="55"/>
      <c r="D1389" s="55"/>
      <c r="G1389" s="202"/>
      <c r="H1389" s="144"/>
      <c r="J1389" s="145"/>
      <c r="K1389" s="148"/>
      <c r="L1389" s="149"/>
    </row>
    <row r="1390" spans="1:12" s="17" customFormat="1" x14ac:dyDescent="0.25">
      <c r="A1390" s="229"/>
      <c r="B1390" s="55"/>
      <c r="C1390" s="55"/>
      <c r="D1390" s="55"/>
      <c r="G1390" s="202"/>
      <c r="H1390" s="144"/>
      <c r="J1390" s="145"/>
      <c r="K1390" s="148"/>
      <c r="L1390" s="149"/>
    </row>
    <row r="1391" spans="1:12" s="17" customFormat="1" x14ac:dyDescent="0.25">
      <c r="A1391" s="229"/>
      <c r="B1391" s="55"/>
      <c r="C1391" s="55"/>
      <c r="D1391" s="55"/>
      <c r="G1391" s="202"/>
      <c r="H1391" s="144"/>
      <c r="J1391" s="145"/>
      <c r="K1391" s="148"/>
      <c r="L1391" s="149"/>
    </row>
    <row r="1392" spans="1:12" s="17" customFormat="1" x14ac:dyDescent="0.25">
      <c r="A1392" s="229"/>
      <c r="B1392" s="55"/>
      <c r="C1392" s="55"/>
      <c r="D1392" s="55"/>
      <c r="G1392" s="202"/>
      <c r="H1392" s="144"/>
      <c r="J1392" s="145"/>
      <c r="K1392" s="148"/>
      <c r="L1392" s="149"/>
    </row>
    <row r="1393" spans="1:12" s="17" customFormat="1" x14ac:dyDescent="0.25">
      <c r="A1393" s="229"/>
      <c r="B1393" s="55"/>
      <c r="C1393" s="55"/>
      <c r="D1393" s="55"/>
      <c r="G1393" s="202"/>
      <c r="H1393" s="144"/>
      <c r="J1393" s="145"/>
      <c r="K1393" s="148"/>
      <c r="L1393" s="149"/>
    </row>
    <row r="1394" spans="1:12" s="17" customFormat="1" x14ac:dyDescent="0.25">
      <c r="A1394" s="229"/>
      <c r="B1394" s="55"/>
      <c r="C1394" s="55"/>
      <c r="D1394" s="55"/>
      <c r="G1394" s="202"/>
      <c r="H1394" s="144"/>
      <c r="J1394" s="145"/>
      <c r="K1394" s="148"/>
      <c r="L1394" s="149"/>
    </row>
    <row r="1395" spans="1:12" s="17" customFormat="1" x14ac:dyDescent="0.25">
      <c r="A1395" s="229"/>
      <c r="B1395" s="55"/>
      <c r="C1395" s="55"/>
      <c r="D1395" s="55"/>
      <c r="G1395" s="202"/>
      <c r="H1395" s="144"/>
      <c r="J1395" s="145"/>
      <c r="K1395" s="148"/>
      <c r="L1395" s="149"/>
    </row>
    <row r="1396" spans="1:12" s="17" customFormat="1" x14ac:dyDescent="0.25">
      <c r="A1396" s="229"/>
      <c r="B1396" s="55"/>
      <c r="C1396" s="55"/>
      <c r="D1396" s="55"/>
      <c r="G1396" s="202"/>
      <c r="H1396" s="144"/>
      <c r="J1396" s="145"/>
      <c r="K1396" s="148"/>
      <c r="L1396" s="149"/>
    </row>
    <row r="1397" spans="1:12" s="17" customFormat="1" x14ac:dyDescent="0.25">
      <c r="A1397" s="229"/>
      <c r="B1397" s="55"/>
      <c r="C1397" s="55"/>
      <c r="D1397" s="55"/>
      <c r="G1397" s="202"/>
      <c r="H1397" s="144"/>
      <c r="J1397" s="145"/>
      <c r="K1397" s="148"/>
      <c r="L1397" s="149"/>
    </row>
    <row r="1398" spans="1:12" s="17" customFormat="1" x14ac:dyDescent="0.25">
      <c r="A1398" s="229"/>
      <c r="B1398" s="55"/>
      <c r="C1398" s="55"/>
      <c r="D1398" s="55"/>
      <c r="G1398" s="202"/>
      <c r="H1398" s="144"/>
      <c r="J1398" s="145"/>
      <c r="K1398" s="148"/>
      <c r="L1398" s="149"/>
    </row>
    <row r="1399" spans="1:12" s="17" customFormat="1" x14ac:dyDescent="0.25">
      <c r="A1399" s="229"/>
      <c r="B1399" s="55"/>
      <c r="C1399" s="55"/>
      <c r="D1399" s="55"/>
      <c r="G1399" s="202"/>
      <c r="H1399" s="144"/>
      <c r="J1399" s="145"/>
      <c r="K1399" s="148"/>
      <c r="L1399" s="149"/>
    </row>
    <row r="1400" spans="1:12" s="17" customFormat="1" x14ac:dyDescent="0.25">
      <c r="A1400" s="229"/>
      <c r="B1400" s="55"/>
      <c r="C1400" s="55"/>
      <c r="D1400" s="55"/>
      <c r="G1400" s="202"/>
      <c r="H1400" s="144"/>
      <c r="J1400" s="145"/>
      <c r="K1400" s="148"/>
      <c r="L1400" s="149"/>
    </row>
    <row r="1401" spans="1:12" s="17" customFormat="1" x14ac:dyDescent="0.25">
      <c r="A1401" s="229"/>
      <c r="B1401" s="55"/>
      <c r="C1401" s="55"/>
      <c r="D1401" s="55"/>
      <c r="G1401" s="202"/>
      <c r="H1401" s="144"/>
      <c r="J1401" s="145"/>
      <c r="K1401" s="148"/>
      <c r="L1401" s="149"/>
    </row>
    <row r="1402" spans="1:12" s="17" customFormat="1" x14ac:dyDescent="0.25">
      <c r="A1402" s="229"/>
      <c r="B1402" s="55"/>
      <c r="C1402" s="55"/>
      <c r="D1402" s="55"/>
      <c r="G1402" s="202"/>
      <c r="H1402" s="144"/>
      <c r="J1402" s="145"/>
      <c r="K1402" s="148"/>
      <c r="L1402" s="149"/>
    </row>
    <row r="1403" spans="1:12" s="17" customFormat="1" x14ac:dyDescent="0.25">
      <c r="A1403" s="229"/>
      <c r="B1403" s="55"/>
      <c r="C1403" s="55"/>
      <c r="D1403" s="55"/>
      <c r="G1403" s="202"/>
      <c r="H1403" s="144"/>
      <c r="J1403" s="145"/>
      <c r="K1403" s="148"/>
      <c r="L1403" s="149"/>
    </row>
    <row r="1404" spans="1:12" s="17" customFormat="1" x14ac:dyDescent="0.25">
      <c r="A1404" s="229"/>
      <c r="B1404" s="55"/>
      <c r="C1404" s="55"/>
      <c r="D1404" s="55"/>
      <c r="G1404" s="202"/>
      <c r="H1404" s="144"/>
      <c r="J1404" s="145"/>
      <c r="K1404" s="148"/>
      <c r="L1404" s="149"/>
    </row>
    <row r="1405" spans="1:12" s="17" customFormat="1" x14ac:dyDescent="0.25">
      <c r="A1405" s="229"/>
      <c r="B1405" s="55"/>
      <c r="C1405" s="55"/>
      <c r="D1405" s="55"/>
      <c r="G1405" s="202"/>
      <c r="H1405" s="144"/>
      <c r="J1405" s="145"/>
      <c r="K1405" s="148"/>
      <c r="L1405" s="149"/>
    </row>
    <row r="1406" spans="1:12" s="17" customFormat="1" x14ac:dyDescent="0.25">
      <c r="A1406" s="229"/>
      <c r="B1406" s="55"/>
      <c r="C1406" s="55"/>
      <c r="D1406" s="55"/>
      <c r="G1406" s="202"/>
      <c r="H1406" s="144"/>
      <c r="J1406" s="145"/>
      <c r="K1406" s="148"/>
      <c r="L1406" s="149"/>
    </row>
    <row r="1407" spans="1:12" s="17" customFormat="1" x14ac:dyDescent="0.25">
      <c r="A1407" s="229"/>
      <c r="B1407" s="55"/>
      <c r="C1407" s="55"/>
      <c r="D1407" s="55"/>
      <c r="G1407" s="202"/>
      <c r="H1407" s="144"/>
      <c r="J1407" s="145"/>
      <c r="K1407" s="148"/>
      <c r="L1407" s="149"/>
    </row>
    <row r="1408" spans="1:12" s="17" customFormat="1" x14ac:dyDescent="0.25">
      <c r="A1408" s="229"/>
      <c r="B1408" s="55"/>
      <c r="C1408" s="55"/>
      <c r="D1408" s="55"/>
      <c r="G1408" s="202"/>
      <c r="H1408" s="144"/>
      <c r="J1408" s="145"/>
      <c r="K1408" s="148"/>
      <c r="L1408" s="149"/>
    </row>
    <row r="1409" spans="1:12" s="17" customFormat="1" x14ac:dyDescent="0.25">
      <c r="A1409" s="229"/>
      <c r="B1409" s="55"/>
      <c r="C1409" s="55"/>
      <c r="D1409" s="55"/>
      <c r="G1409" s="202"/>
      <c r="H1409" s="144"/>
      <c r="J1409" s="145"/>
      <c r="K1409" s="148"/>
      <c r="L1409" s="149"/>
    </row>
    <row r="1410" spans="1:12" s="17" customFormat="1" x14ac:dyDescent="0.25">
      <c r="A1410" s="229"/>
      <c r="B1410" s="55"/>
      <c r="C1410" s="55"/>
      <c r="D1410" s="55"/>
      <c r="G1410" s="202"/>
      <c r="H1410" s="144"/>
      <c r="J1410" s="145"/>
      <c r="K1410" s="148"/>
      <c r="L1410" s="149"/>
    </row>
    <row r="1411" spans="1:12" s="17" customFormat="1" x14ac:dyDescent="0.25">
      <c r="A1411" s="229"/>
      <c r="B1411" s="55"/>
      <c r="C1411" s="55"/>
      <c r="D1411" s="55"/>
      <c r="G1411" s="202"/>
      <c r="H1411" s="144"/>
      <c r="J1411" s="145"/>
      <c r="K1411" s="148"/>
      <c r="L1411" s="149"/>
    </row>
    <row r="1412" spans="1:12" s="17" customFormat="1" x14ac:dyDescent="0.25">
      <c r="A1412" s="229"/>
      <c r="B1412" s="55"/>
      <c r="C1412" s="55"/>
      <c r="D1412" s="55"/>
      <c r="G1412" s="202"/>
      <c r="H1412" s="144"/>
      <c r="J1412" s="145"/>
      <c r="K1412" s="148"/>
      <c r="L1412" s="149"/>
    </row>
    <row r="1413" spans="1:12" s="17" customFormat="1" x14ac:dyDescent="0.25">
      <c r="A1413" s="229"/>
      <c r="B1413" s="55"/>
      <c r="C1413" s="55"/>
      <c r="D1413" s="55"/>
      <c r="G1413" s="202"/>
      <c r="H1413" s="144"/>
      <c r="J1413" s="145"/>
      <c r="K1413" s="148"/>
      <c r="L1413" s="149"/>
    </row>
    <row r="1414" spans="1:12" s="17" customFormat="1" x14ac:dyDescent="0.25">
      <c r="A1414" s="229"/>
      <c r="B1414" s="55"/>
      <c r="C1414" s="55"/>
      <c r="D1414" s="55"/>
      <c r="G1414" s="202"/>
      <c r="H1414" s="144"/>
      <c r="J1414" s="145"/>
      <c r="K1414" s="148"/>
      <c r="L1414" s="149"/>
    </row>
    <row r="1415" spans="1:12" s="17" customFormat="1" x14ac:dyDescent="0.25">
      <c r="A1415" s="229"/>
      <c r="B1415" s="55"/>
      <c r="C1415" s="55"/>
      <c r="D1415" s="55"/>
      <c r="G1415" s="202"/>
      <c r="H1415" s="144"/>
      <c r="J1415" s="145"/>
      <c r="K1415" s="148"/>
      <c r="L1415" s="149"/>
    </row>
    <row r="1416" spans="1:12" s="17" customFormat="1" x14ac:dyDescent="0.25">
      <c r="A1416" s="229"/>
      <c r="B1416" s="55"/>
      <c r="C1416" s="55"/>
      <c r="D1416" s="55"/>
      <c r="G1416" s="202"/>
      <c r="H1416" s="144"/>
      <c r="J1416" s="145"/>
      <c r="K1416" s="148"/>
      <c r="L1416" s="149"/>
    </row>
    <row r="1417" spans="1:12" s="17" customFormat="1" x14ac:dyDescent="0.25">
      <c r="A1417" s="229"/>
      <c r="B1417" s="55"/>
      <c r="C1417" s="55"/>
      <c r="D1417" s="55"/>
      <c r="G1417" s="202"/>
      <c r="H1417" s="144"/>
      <c r="J1417" s="145"/>
      <c r="K1417" s="148"/>
      <c r="L1417" s="149"/>
    </row>
    <row r="1418" spans="1:12" s="17" customFormat="1" x14ac:dyDescent="0.25">
      <c r="A1418" s="229"/>
      <c r="B1418" s="55"/>
      <c r="C1418" s="55"/>
      <c r="D1418" s="55"/>
      <c r="G1418" s="202"/>
      <c r="H1418" s="144"/>
      <c r="J1418" s="145"/>
      <c r="K1418" s="148"/>
      <c r="L1418" s="149"/>
    </row>
    <row r="1419" spans="1:12" s="17" customFormat="1" x14ac:dyDescent="0.25">
      <c r="A1419" s="229"/>
      <c r="B1419" s="55"/>
      <c r="C1419" s="55"/>
      <c r="D1419" s="55"/>
      <c r="G1419" s="202"/>
      <c r="H1419" s="144"/>
      <c r="J1419" s="145"/>
      <c r="K1419" s="148"/>
      <c r="L1419" s="149"/>
    </row>
    <row r="1420" spans="1:12" s="17" customFormat="1" x14ac:dyDescent="0.25">
      <c r="A1420" s="229"/>
      <c r="B1420" s="55"/>
      <c r="C1420" s="55"/>
      <c r="D1420" s="55"/>
      <c r="G1420" s="202"/>
      <c r="H1420" s="144"/>
      <c r="J1420" s="145"/>
      <c r="K1420" s="148"/>
      <c r="L1420" s="149"/>
    </row>
    <row r="1421" spans="1:12" s="17" customFormat="1" x14ac:dyDescent="0.25">
      <c r="A1421" s="229"/>
      <c r="B1421" s="55"/>
      <c r="C1421" s="55"/>
      <c r="D1421" s="55"/>
      <c r="G1421" s="202"/>
      <c r="H1421" s="144"/>
      <c r="J1421" s="145"/>
      <c r="K1421" s="148"/>
      <c r="L1421" s="149"/>
    </row>
    <row r="1422" spans="1:12" s="17" customFormat="1" x14ac:dyDescent="0.25">
      <c r="A1422" s="229"/>
      <c r="B1422" s="55"/>
      <c r="C1422" s="55"/>
      <c r="D1422" s="55"/>
      <c r="G1422" s="202"/>
      <c r="H1422" s="144"/>
      <c r="J1422" s="145"/>
      <c r="K1422" s="148"/>
      <c r="L1422" s="149"/>
    </row>
    <row r="1423" spans="1:12" s="17" customFormat="1" x14ac:dyDescent="0.25">
      <c r="A1423" s="229"/>
      <c r="B1423" s="55"/>
      <c r="C1423" s="55"/>
      <c r="D1423" s="55"/>
      <c r="G1423" s="202"/>
      <c r="H1423" s="144"/>
      <c r="J1423" s="145"/>
      <c r="K1423" s="148"/>
      <c r="L1423" s="149"/>
    </row>
    <row r="1424" spans="1:12" s="17" customFormat="1" x14ac:dyDescent="0.25">
      <c r="A1424" s="229"/>
      <c r="B1424" s="55"/>
      <c r="C1424" s="55"/>
      <c r="D1424" s="55"/>
      <c r="G1424" s="202"/>
      <c r="H1424" s="144"/>
      <c r="J1424" s="145"/>
      <c r="K1424" s="148"/>
      <c r="L1424" s="149"/>
    </row>
    <row r="1425" spans="1:12" s="17" customFormat="1" x14ac:dyDescent="0.25">
      <c r="A1425" s="229"/>
      <c r="B1425" s="55"/>
      <c r="C1425" s="55"/>
      <c r="D1425" s="55"/>
      <c r="G1425" s="202"/>
      <c r="H1425" s="144"/>
      <c r="J1425" s="145"/>
      <c r="K1425" s="148"/>
      <c r="L1425" s="149"/>
    </row>
    <row r="1426" spans="1:12" s="17" customFormat="1" x14ac:dyDescent="0.25">
      <c r="A1426" s="229"/>
      <c r="B1426" s="55"/>
      <c r="C1426" s="55"/>
      <c r="D1426" s="55"/>
      <c r="G1426" s="202"/>
      <c r="H1426" s="144"/>
      <c r="J1426" s="145"/>
      <c r="K1426" s="148"/>
      <c r="L1426" s="149"/>
    </row>
    <row r="1427" spans="1:12" s="17" customFormat="1" x14ac:dyDescent="0.25">
      <c r="A1427" s="229"/>
      <c r="B1427" s="55"/>
      <c r="C1427" s="55"/>
      <c r="D1427" s="55"/>
      <c r="G1427" s="202"/>
      <c r="H1427" s="144"/>
      <c r="J1427" s="145"/>
      <c r="K1427" s="148"/>
      <c r="L1427" s="149"/>
    </row>
    <row r="1428" spans="1:12" s="17" customFormat="1" x14ac:dyDescent="0.25">
      <c r="A1428" s="229"/>
      <c r="B1428" s="55"/>
      <c r="C1428" s="55"/>
      <c r="D1428" s="55"/>
      <c r="G1428" s="202"/>
      <c r="H1428" s="144"/>
      <c r="J1428" s="145"/>
      <c r="K1428" s="148"/>
      <c r="L1428" s="149"/>
    </row>
    <row r="1429" spans="1:12" s="17" customFormat="1" x14ac:dyDescent="0.25">
      <c r="A1429" s="229"/>
      <c r="B1429" s="55"/>
      <c r="C1429" s="55"/>
      <c r="D1429" s="55"/>
      <c r="G1429" s="202"/>
      <c r="H1429" s="144"/>
      <c r="J1429" s="145"/>
      <c r="K1429" s="148"/>
      <c r="L1429" s="149"/>
    </row>
    <row r="1430" spans="1:12" s="17" customFormat="1" x14ac:dyDescent="0.25">
      <c r="A1430" s="229"/>
      <c r="B1430" s="55"/>
      <c r="C1430" s="55"/>
      <c r="D1430" s="55"/>
      <c r="G1430" s="202"/>
      <c r="H1430" s="144"/>
      <c r="J1430" s="145"/>
      <c r="K1430" s="148"/>
      <c r="L1430" s="149"/>
    </row>
    <row r="1431" spans="1:12" s="17" customFormat="1" x14ac:dyDescent="0.25">
      <c r="A1431" s="229"/>
      <c r="B1431" s="55"/>
      <c r="C1431" s="55"/>
      <c r="D1431" s="55"/>
      <c r="G1431" s="202"/>
      <c r="H1431" s="144"/>
      <c r="J1431" s="145"/>
      <c r="K1431" s="148"/>
      <c r="L1431" s="149"/>
    </row>
    <row r="1432" spans="1:12" s="17" customFormat="1" x14ac:dyDescent="0.25">
      <c r="A1432" s="229"/>
      <c r="B1432" s="55"/>
      <c r="C1432" s="55"/>
      <c r="D1432" s="55"/>
      <c r="G1432" s="202"/>
      <c r="H1432" s="144"/>
      <c r="J1432" s="145"/>
      <c r="K1432" s="148"/>
      <c r="L1432" s="149"/>
    </row>
    <row r="1433" spans="1:12" s="17" customFormat="1" x14ac:dyDescent="0.25">
      <c r="A1433" s="229"/>
      <c r="B1433" s="55"/>
      <c r="C1433" s="55"/>
      <c r="D1433" s="55"/>
      <c r="G1433" s="202"/>
      <c r="H1433" s="144"/>
      <c r="J1433" s="145"/>
      <c r="K1433" s="148"/>
      <c r="L1433" s="149"/>
    </row>
    <row r="1434" spans="1:12" s="17" customFormat="1" x14ac:dyDescent="0.25">
      <c r="A1434" s="229"/>
      <c r="B1434" s="55"/>
      <c r="C1434" s="55"/>
      <c r="D1434" s="55"/>
      <c r="G1434" s="202"/>
      <c r="H1434" s="144"/>
      <c r="J1434" s="145"/>
      <c r="K1434" s="148"/>
      <c r="L1434" s="149"/>
    </row>
    <row r="1435" spans="1:12" s="17" customFormat="1" x14ac:dyDescent="0.25">
      <c r="A1435" s="229"/>
      <c r="B1435" s="55"/>
      <c r="C1435" s="55"/>
      <c r="D1435" s="55"/>
      <c r="G1435" s="202"/>
      <c r="H1435" s="144"/>
      <c r="J1435" s="145"/>
      <c r="K1435" s="148"/>
      <c r="L1435" s="149"/>
    </row>
    <row r="1436" spans="1:12" s="17" customFormat="1" x14ac:dyDescent="0.25">
      <c r="A1436" s="229"/>
      <c r="B1436" s="55"/>
      <c r="C1436" s="55"/>
      <c r="D1436" s="55"/>
      <c r="G1436" s="202"/>
      <c r="H1436" s="144"/>
      <c r="J1436" s="145"/>
      <c r="K1436" s="148"/>
      <c r="L1436" s="149"/>
    </row>
    <row r="1437" spans="1:12" s="17" customFormat="1" x14ac:dyDescent="0.25">
      <c r="A1437" s="229"/>
      <c r="B1437" s="55"/>
      <c r="C1437" s="55"/>
      <c r="D1437" s="55"/>
      <c r="G1437" s="202"/>
      <c r="H1437" s="144"/>
      <c r="J1437" s="145"/>
      <c r="K1437" s="148"/>
      <c r="L1437" s="149"/>
    </row>
    <row r="1438" spans="1:12" s="17" customFormat="1" x14ac:dyDescent="0.25">
      <c r="A1438" s="229"/>
      <c r="B1438" s="55"/>
      <c r="C1438" s="55"/>
      <c r="D1438" s="55"/>
      <c r="G1438" s="202"/>
      <c r="H1438" s="144"/>
      <c r="J1438" s="145"/>
      <c r="K1438" s="148"/>
      <c r="L1438" s="149"/>
    </row>
    <row r="1439" spans="1:12" s="17" customFormat="1" x14ac:dyDescent="0.25">
      <c r="A1439" s="229"/>
      <c r="B1439" s="55"/>
      <c r="C1439" s="55"/>
      <c r="D1439" s="55"/>
      <c r="G1439" s="202"/>
      <c r="H1439" s="144"/>
      <c r="J1439" s="145"/>
      <c r="K1439" s="148"/>
      <c r="L1439" s="149"/>
    </row>
    <row r="1440" spans="1:12" s="17" customFormat="1" x14ac:dyDescent="0.25">
      <c r="A1440" s="229"/>
      <c r="B1440" s="55"/>
      <c r="C1440" s="55"/>
      <c r="D1440" s="55"/>
      <c r="G1440" s="202"/>
      <c r="H1440" s="144"/>
      <c r="J1440" s="145"/>
      <c r="K1440" s="148"/>
      <c r="L1440" s="149"/>
    </row>
    <row r="1441" spans="1:12" s="17" customFormat="1" x14ac:dyDescent="0.25">
      <c r="A1441" s="229"/>
      <c r="B1441" s="55"/>
      <c r="C1441" s="55"/>
      <c r="D1441" s="55"/>
      <c r="G1441" s="202"/>
      <c r="H1441" s="144"/>
      <c r="J1441" s="145"/>
      <c r="K1441" s="148"/>
      <c r="L1441" s="149"/>
    </row>
    <row r="1442" spans="1:12" s="17" customFormat="1" x14ac:dyDescent="0.25">
      <c r="A1442" s="229"/>
      <c r="B1442" s="55"/>
      <c r="C1442" s="55"/>
      <c r="D1442" s="55"/>
      <c r="G1442" s="202"/>
      <c r="H1442" s="144"/>
      <c r="J1442" s="145"/>
      <c r="K1442" s="148"/>
      <c r="L1442" s="149"/>
    </row>
    <row r="1443" spans="1:12" s="17" customFormat="1" x14ac:dyDescent="0.25">
      <c r="A1443" s="229"/>
      <c r="B1443" s="55"/>
      <c r="C1443" s="55"/>
      <c r="D1443" s="55"/>
      <c r="G1443" s="202"/>
      <c r="H1443" s="144"/>
      <c r="J1443" s="145"/>
      <c r="K1443" s="148"/>
      <c r="L1443" s="149"/>
    </row>
    <row r="1444" spans="1:12" s="17" customFormat="1" x14ac:dyDescent="0.25">
      <c r="A1444" s="229"/>
      <c r="B1444" s="55"/>
      <c r="C1444" s="55"/>
      <c r="D1444" s="55"/>
      <c r="G1444" s="202"/>
      <c r="H1444" s="144"/>
      <c r="J1444" s="145"/>
      <c r="K1444" s="148"/>
      <c r="L1444" s="149"/>
    </row>
    <row r="1445" spans="1:12" s="17" customFormat="1" x14ac:dyDescent="0.25">
      <c r="A1445" s="229"/>
      <c r="B1445" s="55"/>
      <c r="C1445" s="55"/>
      <c r="D1445" s="55"/>
      <c r="G1445" s="202"/>
      <c r="H1445" s="144"/>
      <c r="J1445" s="145"/>
      <c r="K1445" s="148"/>
      <c r="L1445" s="149"/>
    </row>
    <row r="1446" spans="1:12" s="17" customFormat="1" x14ac:dyDescent="0.25">
      <c r="A1446" s="229"/>
      <c r="B1446" s="55"/>
      <c r="C1446" s="55"/>
      <c r="D1446" s="55"/>
      <c r="G1446" s="202"/>
      <c r="H1446" s="144"/>
      <c r="J1446" s="145"/>
      <c r="K1446" s="148"/>
      <c r="L1446" s="149"/>
    </row>
    <row r="1447" spans="1:12" s="17" customFormat="1" x14ac:dyDescent="0.25">
      <c r="A1447" s="229"/>
      <c r="B1447" s="55"/>
      <c r="C1447" s="55"/>
      <c r="D1447" s="55"/>
      <c r="G1447" s="202"/>
      <c r="H1447" s="144"/>
      <c r="J1447" s="145"/>
      <c r="K1447" s="148"/>
      <c r="L1447" s="149"/>
    </row>
    <row r="1448" spans="1:12" s="17" customFormat="1" x14ac:dyDescent="0.25">
      <c r="A1448" s="229"/>
      <c r="B1448" s="55"/>
      <c r="C1448" s="55"/>
      <c r="D1448" s="55"/>
      <c r="G1448" s="202"/>
      <c r="H1448" s="144"/>
      <c r="J1448" s="145"/>
      <c r="K1448" s="148"/>
      <c r="L1448" s="149"/>
    </row>
    <row r="1449" spans="1:12" s="17" customFormat="1" x14ac:dyDescent="0.25">
      <c r="A1449" s="229"/>
      <c r="B1449" s="55"/>
      <c r="C1449" s="55"/>
      <c r="D1449" s="55"/>
      <c r="G1449" s="202"/>
      <c r="H1449" s="144"/>
      <c r="J1449" s="145"/>
      <c r="K1449" s="148"/>
      <c r="L1449" s="149"/>
    </row>
    <row r="1450" spans="1:12" s="17" customFormat="1" x14ac:dyDescent="0.25">
      <c r="A1450" s="229"/>
      <c r="B1450" s="55"/>
      <c r="C1450" s="55"/>
      <c r="D1450" s="55"/>
      <c r="G1450" s="202"/>
      <c r="H1450" s="144"/>
      <c r="J1450" s="145"/>
      <c r="K1450" s="148"/>
      <c r="L1450" s="149"/>
    </row>
    <row r="1451" spans="1:12" s="17" customFormat="1" x14ac:dyDescent="0.25">
      <c r="A1451" s="229"/>
      <c r="B1451" s="55"/>
      <c r="C1451" s="55"/>
      <c r="D1451" s="55"/>
      <c r="G1451" s="202"/>
      <c r="H1451" s="144"/>
      <c r="J1451" s="145"/>
      <c r="K1451" s="148"/>
      <c r="L1451" s="149"/>
    </row>
    <row r="1452" spans="1:12" s="17" customFormat="1" x14ac:dyDescent="0.25">
      <c r="A1452" s="229"/>
      <c r="B1452" s="55"/>
      <c r="C1452" s="55"/>
      <c r="D1452" s="55"/>
      <c r="G1452" s="202"/>
      <c r="H1452" s="144"/>
      <c r="J1452" s="145"/>
      <c r="K1452" s="148"/>
      <c r="L1452" s="149"/>
    </row>
    <row r="1453" spans="1:12" s="17" customFormat="1" x14ac:dyDescent="0.25">
      <c r="A1453" s="229"/>
      <c r="B1453" s="55"/>
      <c r="C1453" s="55"/>
      <c r="D1453" s="55"/>
      <c r="G1453" s="202"/>
      <c r="H1453" s="144"/>
      <c r="J1453" s="145"/>
      <c r="K1453" s="148"/>
      <c r="L1453" s="149"/>
    </row>
    <row r="1454" spans="1:12" s="17" customFormat="1" x14ac:dyDescent="0.25">
      <c r="A1454" s="229"/>
      <c r="B1454" s="55"/>
      <c r="C1454" s="55"/>
      <c r="D1454" s="55"/>
      <c r="G1454" s="202"/>
      <c r="H1454" s="144"/>
      <c r="J1454" s="145"/>
      <c r="K1454" s="148"/>
      <c r="L1454" s="149"/>
    </row>
    <row r="1455" spans="1:12" s="17" customFormat="1" x14ac:dyDescent="0.25">
      <c r="A1455" s="229"/>
      <c r="B1455" s="55"/>
      <c r="C1455" s="55"/>
      <c r="D1455" s="55"/>
      <c r="G1455" s="202"/>
      <c r="H1455" s="144"/>
      <c r="J1455" s="145"/>
      <c r="K1455" s="148"/>
      <c r="L1455" s="149"/>
    </row>
    <row r="1456" spans="1:12" s="17" customFormat="1" x14ac:dyDescent="0.25">
      <c r="A1456" s="229"/>
      <c r="B1456" s="55"/>
      <c r="C1456" s="55"/>
      <c r="D1456" s="55"/>
      <c r="G1456" s="202"/>
      <c r="H1456" s="144"/>
      <c r="J1456" s="145"/>
      <c r="K1456" s="148"/>
      <c r="L1456" s="149"/>
    </row>
    <row r="1457" spans="1:12" s="17" customFormat="1" x14ac:dyDescent="0.25">
      <c r="A1457" s="229"/>
      <c r="B1457" s="55"/>
      <c r="C1457" s="55"/>
      <c r="D1457" s="55"/>
      <c r="G1457" s="202"/>
      <c r="H1457" s="144"/>
      <c r="J1457" s="145"/>
      <c r="K1457" s="148"/>
      <c r="L1457" s="149"/>
    </row>
    <row r="1458" spans="1:12" s="17" customFormat="1" x14ac:dyDescent="0.25">
      <c r="A1458" s="229"/>
      <c r="B1458" s="55"/>
      <c r="C1458" s="55"/>
      <c r="D1458" s="55"/>
      <c r="G1458" s="202"/>
      <c r="H1458" s="144"/>
      <c r="J1458" s="145"/>
      <c r="K1458" s="148"/>
      <c r="L1458" s="149"/>
    </row>
    <row r="1459" spans="1:12" s="17" customFormat="1" x14ac:dyDescent="0.25">
      <c r="A1459" s="229"/>
      <c r="B1459" s="55"/>
      <c r="C1459" s="55"/>
      <c r="D1459" s="55"/>
      <c r="G1459" s="202"/>
      <c r="H1459" s="144"/>
      <c r="J1459" s="145"/>
      <c r="K1459" s="148"/>
      <c r="L1459" s="149"/>
    </row>
    <row r="1460" spans="1:12" s="17" customFormat="1" x14ac:dyDescent="0.25">
      <c r="A1460" s="229"/>
      <c r="B1460" s="55"/>
      <c r="C1460" s="55"/>
      <c r="D1460" s="55"/>
      <c r="G1460" s="202"/>
      <c r="H1460" s="144"/>
      <c r="J1460" s="145"/>
      <c r="K1460" s="148"/>
      <c r="L1460" s="149"/>
    </row>
    <row r="1461" spans="1:12" s="17" customFormat="1" x14ac:dyDescent="0.25">
      <c r="A1461" s="229"/>
      <c r="B1461" s="55"/>
      <c r="C1461" s="55"/>
      <c r="D1461" s="55"/>
      <c r="G1461" s="202"/>
      <c r="H1461" s="144"/>
      <c r="J1461" s="145"/>
      <c r="K1461" s="148"/>
      <c r="L1461" s="149"/>
    </row>
    <row r="1462" spans="1:12" s="17" customFormat="1" x14ac:dyDescent="0.25">
      <c r="A1462" s="229"/>
      <c r="B1462" s="55"/>
      <c r="C1462" s="55"/>
      <c r="D1462" s="55"/>
      <c r="G1462" s="202"/>
      <c r="H1462" s="144"/>
      <c r="J1462" s="145"/>
      <c r="K1462" s="148"/>
      <c r="L1462" s="149"/>
    </row>
    <row r="1463" spans="1:12" s="17" customFormat="1" x14ac:dyDescent="0.25">
      <c r="A1463" s="229"/>
      <c r="B1463" s="55"/>
      <c r="C1463" s="55"/>
      <c r="D1463" s="55"/>
      <c r="G1463" s="202"/>
      <c r="H1463" s="144"/>
      <c r="J1463" s="145"/>
      <c r="K1463" s="148"/>
      <c r="L1463" s="149"/>
    </row>
    <row r="1464" spans="1:12" s="17" customFormat="1" x14ac:dyDescent="0.25">
      <c r="A1464" s="229"/>
      <c r="B1464" s="55"/>
      <c r="C1464" s="55"/>
      <c r="D1464" s="55"/>
      <c r="G1464" s="202"/>
      <c r="H1464" s="144"/>
      <c r="J1464" s="145"/>
      <c r="K1464" s="148"/>
      <c r="L1464" s="149"/>
    </row>
    <row r="1465" spans="1:12" s="17" customFormat="1" x14ac:dyDescent="0.25">
      <c r="A1465" s="229"/>
      <c r="B1465" s="55"/>
      <c r="C1465" s="55"/>
      <c r="D1465" s="55"/>
      <c r="G1465" s="202"/>
      <c r="H1465" s="144"/>
      <c r="J1465" s="145"/>
      <c r="K1465" s="148"/>
      <c r="L1465" s="149"/>
    </row>
    <row r="1466" spans="1:12" s="17" customFormat="1" x14ac:dyDescent="0.25">
      <c r="A1466" s="229"/>
      <c r="B1466" s="55"/>
      <c r="C1466" s="55"/>
      <c r="D1466" s="55"/>
      <c r="G1466" s="202"/>
      <c r="H1466" s="144"/>
      <c r="J1466" s="145"/>
      <c r="K1466" s="148"/>
      <c r="L1466" s="149"/>
    </row>
    <row r="1467" spans="1:12" s="17" customFormat="1" x14ac:dyDescent="0.25">
      <c r="A1467" s="229"/>
      <c r="B1467" s="55"/>
      <c r="C1467" s="55"/>
      <c r="D1467" s="55"/>
      <c r="G1467" s="202"/>
      <c r="H1467" s="144"/>
      <c r="J1467" s="145"/>
      <c r="K1467" s="148"/>
      <c r="L1467" s="149"/>
    </row>
    <row r="1468" spans="1:12" s="17" customFormat="1" x14ac:dyDescent="0.25">
      <c r="A1468" s="229"/>
      <c r="B1468" s="55"/>
      <c r="C1468" s="55"/>
      <c r="D1468" s="55"/>
      <c r="G1468" s="202"/>
      <c r="H1468" s="144"/>
      <c r="J1468" s="145"/>
      <c r="K1468" s="148"/>
      <c r="L1468" s="149"/>
    </row>
    <row r="1469" spans="1:12" s="17" customFormat="1" x14ac:dyDescent="0.25">
      <c r="A1469" s="229"/>
      <c r="B1469" s="55"/>
      <c r="C1469" s="55"/>
      <c r="D1469" s="55"/>
      <c r="G1469" s="202"/>
      <c r="H1469" s="144"/>
      <c r="J1469" s="145"/>
      <c r="K1469" s="148"/>
      <c r="L1469" s="149"/>
    </row>
    <row r="1470" spans="1:12" s="17" customFormat="1" x14ac:dyDescent="0.25">
      <c r="A1470" s="229"/>
      <c r="B1470" s="55"/>
      <c r="C1470" s="55"/>
      <c r="D1470" s="55"/>
      <c r="G1470" s="202"/>
      <c r="H1470" s="144"/>
      <c r="J1470" s="145"/>
      <c r="K1470" s="148"/>
      <c r="L1470" s="149"/>
    </row>
    <row r="1471" spans="1:12" s="17" customFormat="1" x14ac:dyDescent="0.25">
      <c r="A1471" s="229"/>
      <c r="B1471" s="55"/>
      <c r="C1471" s="55"/>
      <c r="D1471" s="55"/>
      <c r="G1471" s="202"/>
      <c r="H1471" s="144"/>
      <c r="J1471" s="145"/>
      <c r="K1471" s="148"/>
      <c r="L1471" s="149"/>
    </row>
    <row r="1472" spans="1:12" s="17" customFormat="1" x14ac:dyDescent="0.25">
      <c r="A1472" s="229"/>
      <c r="B1472" s="55"/>
      <c r="C1472" s="55"/>
      <c r="D1472" s="55"/>
      <c r="G1472" s="202"/>
      <c r="H1472" s="144"/>
      <c r="J1472" s="145"/>
      <c r="K1472" s="148"/>
      <c r="L1472" s="149"/>
    </row>
    <row r="1473" spans="1:12" s="17" customFormat="1" x14ac:dyDescent="0.25">
      <c r="A1473" s="229"/>
      <c r="B1473" s="55"/>
      <c r="C1473" s="55"/>
      <c r="D1473" s="55"/>
      <c r="G1473" s="202"/>
      <c r="H1473" s="144"/>
      <c r="J1473" s="145"/>
      <c r="K1473" s="148"/>
      <c r="L1473" s="149"/>
    </row>
    <row r="1474" spans="1:12" s="17" customFormat="1" x14ac:dyDescent="0.25">
      <c r="A1474" s="229"/>
      <c r="B1474" s="55"/>
      <c r="C1474" s="55"/>
      <c r="D1474" s="55"/>
      <c r="G1474" s="202"/>
      <c r="H1474" s="144"/>
      <c r="J1474" s="145"/>
      <c r="K1474" s="148"/>
      <c r="L1474" s="149"/>
    </row>
    <row r="1475" spans="1:12" s="17" customFormat="1" x14ac:dyDescent="0.25">
      <c r="A1475" s="229"/>
      <c r="B1475" s="55"/>
      <c r="C1475" s="55"/>
      <c r="D1475" s="55"/>
      <c r="G1475" s="202"/>
      <c r="H1475" s="144"/>
      <c r="J1475" s="145"/>
      <c r="K1475" s="148"/>
      <c r="L1475" s="149"/>
    </row>
    <row r="1476" spans="1:12" s="17" customFormat="1" x14ac:dyDescent="0.25">
      <c r="A1476" s="229"/>
      <c r="B1476" s="55"/>
      <c r="C1476" s="55"/>
      <c r="D1476" s="55"/>
      <c r="G1476" s="202"/>
      <c r="H1476" s="144"/>
      <c r="J1476" s="145"/>
      <c r="K1476" s="148"/>
      <c r="L1476" s="149"/>
    </row>
    <row r="1477" spans="1:12" s="17" customFormat="1" x14ac:dyDescent="0.25">
      <c r="A1477" s="229"/>
      <c r="B1477" s="55"/>
      <c r="C1477" s="55"/>
      <c r="D1477" s="55"/>
      <c r="G1477" s="202"/>
      <c r="H1477" s="144"/>
      <c r="J1477" s="145"/>
      <c r="K1477" s="148"/>
      <c r="L1477" s="149"/>
    </row>
    <row r="1478" spans="1:12" s="17" customFormat="1" x14ac:dyDescent="0.25">
      <c r="A1478" s="229"/>
      <c r="B1478" s="55"/>
      <c r="C1478" s="55"/>
      <c r="D1478" s="55"/>
      <c r="G1478" s="202"/>
      <c r="H1478" s="144"/>
      <c r="J1478" s="145"/>
      <c r="K1478" s="148"/>
      <c r="L1478" s="149"/>
    </row>
    <row r="1479" spans="1:12" s="17" customFormat="1" x14ac:dyDescent="0.25">
      <c r="A1479" s="229"/>
      <c r="B1479" s="55"/>
      <c r="C1479" s="55"/>
      <c r="D1479" s="55"/>
      <c r="G1479" s="202"/>
      <c r="H1479" s="144"/>
      <c r="J1479" s="145"/>
      <c r="K1479" s="148"/>
      <c r="L1479" s="149"/>
    </row>
    <row r="1480" spans="1:12" s="17" customFormat="1" x14ac:dyDescent="0.25">
      <c r="A1480" s="229"/>
      <c r="B1480" s="55"/>
      <c r="C1480" s="55"/>
      <c r="D1480" s="55"/>
      <c r="G1480" s="202"/>
      <c r="H1480" s="144"/>
      <c r="J1480" s="145"/>
      <c r="K1480" s="148"/>
      <c r="L1480" s="149"/>
    </row>
    <row r="1481" spans="1:12" s="17" customFormat="1" x14ac:dyDescent="0.25">
      <c r="A1481" s="229"/>
      <c r="B1481" s="55"/>
      <c r="C1481" s="55"/>
      <c r="D1481" s="55"/>
      <c r="G1481" s="202"/>
      <c r="H1481" s="144"/>
      <c r="J1481" s="145"/>
      <c r="K1481" s="148"/>
      <c r="L1481" s="149"/>
    </row>
    <row r="1482" spans="1:12" s="17" customFormat="1" x14ac:dyDescent="0.25">
      <c r="A1482" s="229"/>
      <c r="B1482" s="55"/>
      <c r="C1482" s="55"/>
      <c r="D1482" s="55"/>
      <c r="G1482" s="202"/>
      <c r="H1482" s="144"/>
      <c r="J1482" s="145"/>
      <c r="K1482" s="148"/>
      <c r="L1482" s="149"/>
    </row>
    <row r="1483" spans="1:12" s="17" customFormat="1" x14ac:dyDescent="0.25">
      <c r="A1483" s="229"/>
      <c r="B1483" s="55"/>
      <c r="C1483" s="55"/>
      <c r="D1483" s="55"/>
      <c r="G1483" s="202"/>
      <c r="H1483" s="144"/>
      <c r="J1483" s="145"/>
      <c r="K1483" s="148"/>
      <c r="L1483" s="149"/>
    </row>
    <row r="1484" spans="1:12" s="17" customFormat="1" x14ac:dyDescent="0.25">
      <c r="A1484" s="229"/>
      <c r="B1484" s="55"/>
      <c r="C1484" s="55"/>
      <c r="D1484" s="55"/>
      <c r="G1484" s="202"/>
      <c r="H1484" s="144"/>
      <c r="J1484" s="145"/>
      <c r="K1484" s="148"/>
      <c r="L1484" s="149"/>
    </row>
    <row r="1485" spans="1:12" s="17" customFormat="1" x14ac:dyDescent="0.25">
      <c r="A1485" s="229"/>
      <c r="B1485" s="55"/>
      <c r="C1485" s="55"/>
      <c r="D1485" s="55"/>
      <c r="G1485" s="202"/>
      <c r="H1485" s="144"/>
      <c r="J1485" s="145"/>
      <c r="K1485" s="148"/>
      <c r="L1485" s="149"/>
    </row>
    <row r="1486" spans="1:12" s="17" customFormat="1" x14ac:dyDescent="0.25">
      <c r="A1486" s="229"/>
      <c r="B1486" s="55"/>
      <c r="C1486" s="55"/>
      <c r="D1486" s="55"/>
      <c r="G1486" s="202"/>
      <c r="H1486" s="144"/>
      <c r="J1486" s="145"/>
      <c r="K1486" s="148"/>
      <c r="L1486" s="149"/>
    </row>
    <row r="1487" spans="1:12" s="17" customFormat="1" x14ac:dyDescent="0.25">
      <c r="A1487" s="229"/>
      <c r="B1487" s="55"/>
      <c r="C1487" s="55"/>
      <c r="D1487" s="55"/>
      <c r="G1487" s="202"/>
      <c r="H1487" s="144"/>
      <c r="J1487" s="145"/>
      <c r="K1487" s="148"/>
      <c r="L1487" s="149"/>
    </row>
    <row r="1488" spans="1:12" s="17" customFormat="1" x14ac:dyDescent="0.25">
      <c r="A1488" s="229"/>
      <c r="B1488" s="55"/>
      <c r="C1488" s="55"/>
      <c r="D1488" s="55"/>
      <c r="G1488" s="202"/>
      <c r="H1488" s="144"/>
      <c r="J1488" s="145"/>
      <c r="K1488" s="148"/>
      <c r="L1488" s="149"/>
    </row>
    <row r="1489" spans="1:12" s="17" customFormat="1" x14ac:dyDescent="0.25">
      <c r="A1489" s="229"/>
      <c r="B1489" s="55"/>
      <c r="C1489" s="55"/>
      <c r="D1489" s="55"/>
      <c r="G1489" s="202"/>
      <c r="H1489" s="144"/>
      <c r="J1489" s="145"/>
      <c r="K1489" s="148"/>
      <c r="L1489" s="149"/>
    </row>
    <row r="1490" spans="1:12" s="17" customFormat="1" x14ac:dyDescent="0.25">
      <c r="A1490" s="229"/>
      <c r="B1490" s="55"/>
      <c r="C1490" s="55"/>
      <c r="D1490" s="55"/>
      <c r="G1490" s="202"/>
      <c r="H1490" s="144"/>
      <c r="J1490" s="145"/>
      <c r="K1490" s="148"/>
      <c r="L1490" s="149"/>
    </row>
    <row r="1491" spans="1:12" s="17" customFormat="1" x14ac:dyDescent="0.25">
      <c r="A1491" s="229"/>
      <c r="B1491" s="55"/>
      <c r="C1491" s="55"/>
      <c r="D1491" s="55"/>
      <c r="G1491" s="202"/>
      <c r="H1491" s="144"/>
      <c r="J1491" s="145"/>
      <c r="K1491" s="148"/>
      <c r="L1491" s="149"/>
    </row>
    <row r="1492" spans="1:12" s="17" customFormat="1" x14ac:dyDescent="0.25">
      <c r="A1492" s="229"/>
      <c r="B1492" s="55"/>
      <c r="C1492" s="55"/>
      <c r="D1492" s="55"/>
      <c r="G1492" s="202"/>
      <c r="H1492" s="144"/>
      <c r="J1492" s="145"/>
      <c r="K1492" s="148"/>
      <c r="L1492" s="149"/>
    </row>
    <row r="1493" spans="1:12" s="17" customFormat="1" x14ac:dyDescent="0.25">
      <c r="A1493" s="229"/>
      <c r="B1493" s="55"/>
      <c r="C1493" s="55"/>
      <c r="D1493" s="55"/>
      <c r="G1493" s="202"/>
      <c r="H1493" s="144"/>
      <c r="J1493" s="145"/>
      <c r="K1493" s="148"/>
      <c r="L1493" s="149"/>
    </row>
    <row r="1494" spans="1:12" s="17" customFormat="1" x14ac:dyDescent="0.25">
      <c r="A1494" s="229"/>
      <c r="B1494" s="55"/>
      <c r="C1494" s="55"/>
      <c r="D1494" s="55"/>
      <c r="G1494" s="202"/>
      <c r="H1494" s="144"/>
      <c r="J1494" s="145"/>
      <c r="K1494" s="148"/>
      <c r="L1494" s="149"/>
    </row>
    <row r="1495" spans="1:12" s="17" customFormat="1" x14ac:dyDescent="0.25">
      <c r="A1495" s="229"/>
      <c r="B1495" s="55"/>
      <c r="C1495" s="55"/>
      <c r="D1495" s="55"/>
      <c r="G1495" s="202"/>
      <c r="H1495" s="144"/>
      <c r="J1495" s="145"/>
      <c r="K1495" s="148"/>
      <c r="L1495" s="149"/>
    </row>
    <row r="1496" spans="1:12" s="17" customFormat="1" x14ac:dyDescent="0.25">
      <c r="A1496" s="229"/>
      <c r="B1496" s="55"/>
      <c r="C1496" s="55"/>
      <c r="D1496" s="55"/>
      <c r="G1496" s="202"/>
      <c r="H1496" s="144"/>
      <c r="J1496" s="145"/>
      <c r="K1496" s="148"/>
      <c r="L1496" s="149"/>
    </row>
    <row r="1497" spans="1:12" s="17" customFormat="1" x14ac:dyDescent="0.25">
      <c r="A1497" s="229"/>
      <c r="B1497" s="55"/>
      <c r="C1497" s="55"/>
      <c r="D1497" s="55"/>
      <c r="G1497" s="202"/>
      <c r="H1497" s="144"/>
      <c r="J1497" s="145"/>
      <c r="K1497" s="148"/>
      <c r="L1497" s="149"/>
    </row>
    <row r="1498" spans="1:12" s="17" customFormat="1" x14ac:dyDescent="0.25">
      <c r="A1498" s="229"/>
      <c r="B1498" s="55"/>
      <c r="C1498" s="55"/>
      <c r="D1498" s="55"/>
      <c r="G1498" s="202"/>
      <c r="H1498" s="144"/>
      <c r="J1498" s="145"/>
      <c r="K1498" s="148"/>
      <c r="L1498" s="149"/>
    </row>
    <row r="1499" spans="1:12" s="17" customFormat="1" x14ac:dyDescent="0.25">
      <c r="A1499" s="229"/>
      <c r="B1499" s="55"/>
      <c r="C1499" s="55"/>
      <c r="D1499" s="55"/>
      <c r="G1499" s="202"/>
      <c r="H1499" s="144"/>
      <c r="J1499" s="145"/>
      <c r="K1499" s="148"/>
      <c r="L1499" s="149"/>
    </row>
    <row r="1500" spans="1:12" s="17" customFormat="1" x14ac:dyDescent="0.25">
      <c r="A1500" s="229"/>
      <c r="B1500" s="55"/>
      <c r="C1500" s="55"/>
      <c r="D1500" s="55"/>
      <c r="G1500" s="202"/>
      <c r="H1500" s="144"/>
      <c r="J1500" s="145"/>
      <c r="K1500" s="148"/>
      <c r="L1500" s="149"/>
    </row>
    <row r="1501" spans="1:12" s="17" customFormat="1" x14ac:dyDescent="0.25">
      <c r="A1501" s="229"/>
      <c r="B1501" s="55"/>
      <c r="C1501" s="55"/>
      <c r="D1501" s="55"/>
      <c r="G1501" s="202"/>
      <c r="H1501" s="144"/>
      <c r="J1501" s="145"/>
      <c r="K1501" s="148"/>
      <c r="L1501" s="149"/>
    </row>
    <row r="1502" spans="1:12" s="17" customFormat="1" x14ac:dyDescent="0.25">
      <c r="A1502" s="229"/>
      <c r="B1502" s="55"/>
      <c r="C1502" s="55"/>
      <c r="D1502" s="55"/>
      <c r="G1502" s="202"/>
      <c r="H1502" s="144"/>
      <c r="J1502" s="145"/>
      <c r="K1502" s="148"/>
      <c r="L1502" s="149"/>
    </row>
    <row r="1503" spans="1:12" s="17" customFormat="1" x14ac:dyDescent="0.25">
      <c r="A1503" s="229"/>
      <c r="B1503" s="55"/>
      <c r="C1503" s="55"/>
      <c r="D1503" s="55"/>
      <c r="G1503" s="202"/>
      <c r="H1503" s="144"/>
      <c r="J1503" s="145"/>
      <c r="K1503" s="148"/>
      <c r="L1503" s="149"/>
    </row>
    <row r="1504" spans="1:12" s="17" customFormat="1" x14ac:dyDescent="0.25">
      <c r="A1504" s="229"/>
      <c r="B1504" s="55"/>
      <c r="C1504" s="55"/>
      <c r="D1504" s="55"/>
      <c r="G1504" s="202"/>
      <c r="H1504" s="144"/>
      <c r="J1504" s="145"/>
      <c r="K1504" s="148"/>
      <c r="L1504" s="149"/>
    </row>
    <row r="1505" spans="1:12" s="17" customFormat="1" x14ac:dyDescent="0.25">
      <c r="A1505" s="229"/>
      <c r="B1505" s="55"/>
      <c r="C1505" s="55"/>
      <c r="D1505" s="55"/>
      <c r="G1505" s="202"/>
      <c r="H1505" s="144"/>
      <c r="J1505" s="145"/>
      <c r="K1505" s="148"/>
      <c r="L1505" s="149"/>
    </row>
    <row r="1506" spans="1:12" s="17" customFormat="1" x14ac:dyDescent="0.25">
      <c r="A1506" s="229"/>
      <c r="B1506" s="55"/>
      <c r="C1506" s="55"/>
      <c r="D1506" s="55"/>
      <c r="G1506" s="202"/>
      <c r="H1506" s="144"/>
      <c r="J1506" s="145"/>
      <c r="K1506" s="148"/>
      <c r="L1506" s="149"/>
    </row>
    <row r="1507" spans="1:12" s="17" customFormat="1" x14ac:dyDescent="0.25">
      <c r="A1507" s="229"/>
      <c r="B1507" s="55"/>
      <c r="C1507" s="55"/>
      <c r="D1507" s="55"/>
      <c r="G1507" s="202"/>
      <c r="H1507" s="144"/>
      <c r="J1507" s="145"/>
      <c r="K1507" s="148"/>
      <c r="L1507" s="149"/>
    </row>
    <row r="1508" spans="1:12" s="17" customFormat="1" x14ac:dyDescent="0.25">
      <c r="A1508" s="229"/>
      <c r="B1508" s="55"/>
      <c r="C1508" s="55"/>
      <c r="D1508" s="55"/>
      <c r="G1508" s="202"/>
      <c r="H1508" s="144"/>
      <c r="J1508" s="145"/>
      <c r="K1508" s="148"/>
      <c r="L1508" s="149"/>
    </row>
    <row r="1509" spans="1:12" s="17" customFormat="1" x14ac:dyDescent="0.25">
      <c r="A1509" s="229"/>
      <c r="B1509" s="55"/>
      <c r="C1509" s="55"/>
      <c r="D1509" s="55"/>
      <c r="G1509" s="202"/>
      <c r="H1509" s="144"/>
      <c r="J1509" s="145"/>
      <c r="K1509" s="148"/>
      <c r="L1509" s="149"/>
    </row>
    <row r="1510" spans="1:12" s="17" customFormat="1" x14ac:dyDescent="0.25">
      <c r="A1510" s="229"/>
      <c r="B1510" s="55"/>
      <c r="C1510" s="55"/>
      <c r="D1510" s="55"/>
      <c r="G1510" s="202"/>
      <c r="H1510" s="144"/>
      <c r="J1510" s="145"/>
      <c r="K1510" s="148"/>
      <c r="L1510" s="149"/>
    </row>
    <row r="1511" spans="1:12" s="17" customFormat="1" x14ac:dyDescent="0.25">
      <c r="A1511" s="229"/>
      <c r="B1511" s="55"/>
      <c r="C1511" s="55"/>
      <c r="D1511" s="55"/>
      <c r="G1511" s="202"/>
      <c r="H1511" s="144"/>
      <c r="J1511" s="145"/>
      <c r="K1511" s="148"/>
      <c r="L1511" s="149"/>
    </row>
    <row r="1512" spans="1:12" s="17" customFormat="1" x14ac:dyDescent="0.25">
      <c r="A1512" s="229"/>
      <c r="B1512" s="55"/>
      <c r="C1512" s="55"/>
      <c r="D1512" s="55"/>
      <c r="G1512" s="202"/>
      <c r="H1512" s="144"/>
      <c r="J1512" s="145"/>
      <c r="K1512" s="148"/>
      <c r="L1512" s="149"/>
    </row>
    <row r="1513" spans="1:12" s="17" customFormat="1" x14ac:dyDescent="0.25">
      <c r="A1513" s="229"/>
      <c r="B1513" s="55"/>
      <c r="C1513" s="55"/>
      <c r="D1513" s="55"/>
      <c r="G1513" s="202"/>
      <c r="H1513" s="144"/>
      <c r="J1513" s="145"/>
      <c r="K1513" s="148"/>
      <c r="L1513" s="149"/>
    </row>
    <row r="1514" spans="1:12" s="17" customFormat="1" x14ac:dyDescent="0.25">
      <c r="A1514" s="229"/>
      <c r="B1514" s="55"/>
      <c r="C1514" s="55"/>
      <c r="D1514" s="55"/>
      <c r="G1514" s="202"/>
      <c r="H1514" s="144"/>
      <c r="J1514" s="145"/>
      <c r="K1514" s="148"/>
      <c r="L1514" s="149"/>
    </row>
    <row r="1515" spans="1:12" s="17" customFormat="1" x14ac:dyDescent="0.25">
      <c r="A1515" s="229"/>
      <c r="B1515" s="55"/>
      <c r="C1515" s="55"/>
      <c r="D1515" s="55"/>
      <c r="G1515" s="202"/>
      <c r="H1515" s="144"/>
      <c r="J1515" s="145"/>
      <c r="K1515" s="148"/>
      <c r="L1515" s="149"/>
    </row>
    <row r="1516" spans="1:12" s="17" customFormat="1" x14ac:dyDescent="0.25">
      <c r="A1516" s="229"/>
      <c r="B1516" s="55"/>
      <c r="C1516" s="55"/>
      <c r="D1516" s="55"/>
      <c r="G1516" s="202"/>
      <c r="H1516" s="144"/>
      <c r="J1516" s="145"/>
      <c r="K1516" s="148"/>
      <c r="L1516" s="149"/>
    </row>
    <row r="1517" spans="1:12" s="17" customFormat="1" x14ac:dyDescent="0.25">
      <c r="A1517" s="229"/>
      <c r="B1517" s="55"/>
      <c r="C1517" s="55"/>
      <c r="D1517" s="55"/>
      <c r="G1517" s="202"/>
      <c r="H1517" s="144"/>
      <c r="J1517" s="145"/>
      <c r="K1517" s="148"/>
      <c r="L1517" s="149"/>
    </row>
    <row r="1518" spans="1:12" s="17" customFormat="1" x14ac:dyDescent="0.25">
      <c r="A1518" s="229"/>
      <c r="B1518" s="55"/>
      <c r="C1518" s="55"/>
      <c r="D1518" s="55"/>
      <c r="G1518" s="202"/>
      <c r="H1518" s="144"/>
      <c r="J1518" s="145"/>
      <c r="K1518" s="148"/>
      <c r="L1518" s="149"/>
    </row>
    <row r="1519" spans="1:12" s="17" customFormat="1" x14ac:dyDescent="0.25">
      <c r="A1519" s="229"/>
      <c r="B1519" s="55"/>
      <c r="C1519" s="55"/>
      <c r="D1519" s="55"/>
      <c r="G1519" s="202"/>
      <c r="H1519" s="144"/>
      <c r="J1519" s="145"/>
      <c r="K1519" s="148"/>
      <c r="L1519" s="149"/>
    </row>
    <row r="1520" spans="1:12" s="17" customFormat="1" x14ac:dyDescent="0.25">
      <c r="A1520" s="229"/>
      <c r="B1520" s="55"/>
      <c r="C1520" s="55"/>
      <c r="D1520" s="55"/>
      <c r="G1520" s="202"/>
      <c r="H1520" s="144"/>
      <c r="J1520" s="145"/>
      <c r="K1520" s="148"/>
      <c r="L1520" s="149"/>
    </row>
    <row r="1521" spans="1:12" s="17" customFormat="1" x14ac:dyDescent="0.25">
      <c r="A1521" s="229"/>
      <c r="B1521" s="55"/>
      <c r="C1521" s="55"/>
      <c r="D1521" s="55"/>
      <c r="G1521" s="202"/>
      <c r="H1521" s="144"/>
      <c r="J1521" s="145"/>
      <c r="K1521" s="148"/>
      <c r="L1521" s="149"/>
    </row>
    <row r="1522" spans="1:12" s="17" customFormat="1" x14ac:dyDescent="0.25">
      <c r="A1522" s="229"/>
      <c r="B1522" s="55"/>
      <c r="C1522" s="55"/>
      <c r="D1522" s="55"/>
      <c r="G1522" s="202"/>
      <c r="H1522" s="144"/>
      <c r="J1522" s="145"/>
      <c r="K1522" s="148"/>
      <c r="L1522" s="149"/>
    </row>
    <row r="1523" spans="1:12" s="17" customFormat="1" x14ac:dyDescent="0.25">
      <c r="A1523" s="229"/>
      <c r="B1523" s="55"/>
      <c r="C1523" s="55"/>
      <c r="D1523" s="55"/>
      <c r="G1523" s="202"/>
      <c r="H1523" s="144"/>
      <c r="J1523" s="145"/>
      <c r="K1523" s="148"/>
      <c r="L1523" s="149"/>
    </row>
    <row r="1524" spans="1:12" s="17" customFormat="1" x14ac:dyDescent="0.25">
      <c r="A1524" s="229"/>
      <c r="B1524" s="55"/>
      <c r="C1524" s="55"/>
      <c r="D1524" s="55"/>
      <c r="G1524" s="202"/>
      <c r="H1524" s="144"/>
      <c r="J1524" s="145"/>
      <c r="K1524" s="148"/>
      <c r="L1524" s="149"/>
    </row>
    <row r="1525" spans="1:12" s="17" customFormat="1" x14ac:dyDescent="0.25">
      <c r="A1525" s="229"/>
      <c r="B1525" s="55"/>
      <c r="C1525" s="55"/>
      <c r="D1525" s="55"/>
      <c r="G1525" s="202"/>
      <c r="H1525" s="144"/>
      <c r="J1525" s="145"/>
      <c r="K1525" s="148"/>
      <c r="L1525" s="149"/>
    </row>
    <row r="1526" spans="1:12" s="17" customFormat="1" x14ac:dyDescent="0.25">
      <c r="A1526" s="229"/>
      <c r="B1526" s="55"/>
      <c r="C1526" s="55"/>
      <c r="D1526" s="55"/>
      <c r="G1526" s="202"/>
      <c r="H1526" s="144"/>
      <c r="J1526" s="145"/>
      <c r="K1526" s="148"/>
      <c r="L1526" s="149"/>
    </row>
    <row r="1527" spans="1:12" s="17" customFormat="1" x14ac:dyDescent="0.25">
      <c r="A1527" s="229"/>
      <c r="B1527" s="55"/>
      <c r="C1527" s="55"/>
      <c r="D1527" s="55"/>
      <c r="G1527" s="202"/>
      <c r="H1527" s="144"/>
      <c r="J1527" s="145"/>
      <c r="K1527" s="148"/>
      <c r="L1527" s="149"/>
    </row>
    <row r="1528" spans="1:12" s="17" customFormat="1" x14ac:dyDescent="0.25">
      <c r="A1528" s="229"/>
      <c r="B1528" s="55"/>
      <c r="C1528" s="55"/>
      <c r="D1528" s="55"/>
      <c r="G1528" s="202"/>
      <c r="H1528" s="144"/>
      <c r="J1528" s="145"/>
      <c r="K1528" s="148"/>
      <c r="L1528" s="149"/>
    </row>
    <row r="1529" spans="1:12" s="17" customFormat="1" x14ac:dyDescent="0.25">
      <c r="A1529" s="229"/>
      <c r="B1529" s="55"/>
      <c r="C1529" s="55"/>
      <c r="D1529" s="55"/>
      <c r="G1529" s="202"/>
      <c r="H1529" s="144"/>
      <c r="J1529" s="145"/>
      <c r="K1529" s="148"/>
      <c r="L1529" s="149"/>
    </row>
    <row r="1530" spans="1:12" s="17" customFormat="1" x14ac:dyDescent="0.25">
      <c r="A1530" s="229"/>
      <c r="B1530" s="55"/>
      <c r="C1530" s="55"/>
      <c r="D1530" s="55"/>
      <c r="G1530" s="202"/>
      <c r="H1530" s="144"/>
      <c r="J1530" s="145"/>
      <c r="K1530" s="148"/>
      <c r="L1530" s="149"/>
    </row>
    <row r="1531" spans="1:12" s="17" customFormat="1" x14ac:dyDescent="0.25">
      <c r="A1531" s="229"/>
      <c r="B1531" s="55"/>
      <c r="C1531" s="55"/>
      <c r="D1531" s="55"/>
      <c r="G1531" s="202"/>
      <c r="H1531" s="144"/>
      <c r="J1531" s="145"/>
      <c r="K1531" s="148"/>
      <c r="L1531" s="149"/>
    </row>
    <row r="1532" spans="1:12" s="17" customFormat="1" x14ac:dyDescent="0.25">
      <c r="A1532" s="229"/>
      <c r="B1532" s="55"/>
      <c r="C1532" s="55"/>
      <c r="D1532" s="55"/>
      <c r="G1532" s="202"/>
      <c r="H1532" s="144"/>
      <c r="J1532" s="145"/>
      <c r="K1532" s="148"/>
      <c r="L1532" s="149"/>
    </row>
    <row r="1533" spans="1:12" s="17" customFormat="1" x14ac:dyDescent="0.25">
      <c r="A1533" s="229"/>
      <c r="B1533" s="55"/>
      <c r="C1533" s="55"/>
      <c r="D1533" s="55"/>
      <c r="G1533" s="202"/>
      <c r="H1533" s="144"/>
      <c r="J1533" s="145"/>
      <c r="K1533" s="148"/>
      <c r="L1533" s="149"/>
    </row>
    <row r="1534" spans="1:12" s="17" customFormat="1" x14ac:dyDescent="0.25">
      <c r="A1534" s="229"/>
      <c r="B1534" s="55"/>
      <c r="C1534" s="55"/>
      <c r="D1534" s="55"/>
      <c r="G1534" s="202"/>
      <c r="H1534" s="144"/>
      <c r="J1534" s="145"/>
      <c r="K1534" s="148"/>
      <c r="L1534" s="149"/>
    </row>
    <row r="1535" spans="1:12" s="17" customFormat="1" x14ac:dyDescent="0.25">
      <c r="A1535" s="229"/>
      <c r="B1535" s="55"/>
      <c r="C1535" s="55"/>
      <c r="D1535" s="55"/>
      <c r="G1535" s="202"/>
      <c r="H1535" s="144"/>
      <c r="J1535" s="145"/>
      <c r="K1535" s="148"/>
      <c r="L1535" s="149"/>
    </row>
    <row r="1536" spans="1:12" s="17" customFormat="1" x14ac:dyDescent="0.25">
      <c r="A1536" s="229"/>
      <c r="B1536" s="55"/>
      <c r="C1536" s="55"/>
      <c r="D1536" s="55"/>
      <c r="G1536" s="202"/>
      <c r="H1536" s="144"/>
      <c r="J1536" s="145"/>
      <c r="K1536" s="148"/>
      <c r="L1536" s="149"/>
    </row>
    <row r="1537" spans="1:12" s="17" customFormat="1" x14ac:dyDescent="0.25">
      <c r="A1537" s="229"/>
      <c r="B1537" s="55"/>
      <c r="C1537" s="55"/>
      <c r="D1537" s="55"/>
      <c r="G1537" s="202"/>
      <c r="H1537" s="144"/>
      <c r="J1537" s="145"/>
      <c r="K1537" s="148"/>
      <c r="L1537" s="149"/>
    </row>
    <row r="1538" spans="1:12" s="17" customFormat="1" x14ac:dyDescent="0.25">
      <c r="A1538" s="229"/>
      <c r="B1538" s="55"/>
      <c r="C1538" s="55"/>
      <c r="D1538" s="55"/>
      <c r="G1538" s="202"/>
      <c r="H1538" s="144"/>
      <c r="J1538" s="145"/>
      <c r="K1538" s="148"/>
      <c r="L1538" s="149"/>
    </row>
    <row r="1539" spans="1:12" s="17" customFormat="1" x14ac:dyDescent="0.25">
      <c r="A1539" s="229"/>
      <c r="B1539" s="55"/>
      <c r="C1539" s="55"/>
      <c r="D1539" s="55"/>
      <c r="G1539" s="202"/>
      <c r="H1539" s="144"/>
      <c r="J1539" s="145"/>
      <c r="K1539" s="148"/>
      <c r="L1539" s="149"/>
    </row>
    <row r="1540" spans="1:12" s="17" customFormat="1" x14ac:dyDescent="0.25">
      <c r="A1540" s="229"/>
      <c r="B1540" s="55"/>
      <c r="C1540" s="55"/>
      <c r="D1540" s="55"/>
      <c r="G1540" s="202"/>
      <c r="H1540" s="144"/>
      <c r="J1540" s="145"/>
      <c r="K1540" s="148"/>
      <c r="L1540" s="149"/>
    </row>
    <row r="1541" spans="1:12" s="17" customFormat="1" x14ac:dyDescent="0.25">
      <c r="A1541" s="229"/>
      <c r="B1541" s="55"/>
      <c r="C1541" s="55"/>
      <c r="D1541" s="55"/>
      <c r="G1541" s="202"/>
      <c r="H1541" s="144"/>
      <c r="J1541" s="145"/>
      <c r="K1541" s="148"/>
      <c r="L1541" s="149"/>
    </row>
    <row r="1542" spans="1:12" s="17" customFormat="1" x14ac:dyDescent="0.25">
      <c r="A1542" s="229"/>
      <c r="B1542" s="55"/>
      <c r="C1542" s="55"/>
      <c r="D1542" s="55"/>
      <c r="G1542" s="202"/>
      <c r="H1542" s="144"/>
      <c r="J1542" s="145"/>
      <c r="K1542" s="148"/>
      <c r="L1542" s="149"/>
    </row>
    <row r="1543" spans="1:12" s="17" customFormat="1" x14ac:dyDescent="0.25">
      <c r="A1543" s="229"/>
      <c r="B1543" s="55"/>
      <c r="C1543" s="55"/>
      <c r="D1543" s="55"/>
      <c r="G1543" s="202"/>
      <c r="H1543" s="144"/>
      <c r="J1543" s="145"/>
      <c r="K1543" s="148"/>
      <c r="L1543" s="149"/>
    </row>
    <row r="1544" spans="1:12" s="17" customFormat="1" x14ac:dyDescent="0.25">
      <c r="A1544" s="229"/>
      <c r="B1544" s="55"/>
      <c r="C1544" s="55"/>
      <c r="D1544" s="55"/>
      <c r="G1544" s="202"/>
      <c r="H1544" s="144"/>
      <c r="J1544" s="145"/>
      <c r="K1544" s="148"/>
      <c r="L1544" s="149"/>
    </row>
    <row r="1545" spans="1:12" s="17" customFormat="1" x14ac:dyDescent="0.25">
      <c r="A1545" s="229"/>
      <c r="B1545" s="55"/>
      <c r="C1545" s="55"/>
      <c r="D1545" s="55"/>
      <c r="G1545" s="202"/>
      <c r="H1545" s="144"/>
      <c r="J1545" s="145"/>
      <c r="K1545" s="148"/>
      <c r="L1545" s="149"/>
    </row>
    <row r="1546" spans="1:12" s="17" customFormat="1" x14ac:dyDescent="0.25">
      <c r="A1546" s="229"/>
      <c r="B1546" s="55"/>
      <c r="C1546" s="55"/>
      <c r="D1546" s="55"/>
      <c r="G1546" s="202"/>
      <c r="H1546" s="144"/>
      <c r="J1546" s="145"/>
      <c r="K1546" s="148"/>
      <c r="L1546" s="149"/>
    </row>
    <row r="1547" spans="1:12" s="17" customFormat="1" x14ac:dyDescent="0.25">
      <c r="A1547" s="229"/>
      <c r="B1547" s="55"/>
      <c r="C1547" s="55"/>
      <c r="D1547" s="55"/>
      <c r="G1547" s="202"/>
      <c r="H1547" s="144"/>
      <c r="J1547" s="145"/>
      <c r="K1547" s="148"/>
      <c r="L1547" s="149"/>
    </row>
    <row r="1548" spans="1:12" s="17" customFormat="1" x14ac:dyDescent="0.25">
      <c r="A1548" s="229"/>
      <c r="B1548" s="55"/>
      <c r="C1548" s="55"/>
      <c r="D1548" s="55"/>
      <c r="G1548" s="202"/>
      <c r="H1548" s="144"/>
      <c r="J1548" s="145"/>
      <c r="K1548" s="148"/>
      <c r="L1548" s="149"/>
    </row>
    <row r="1549" spans="1:12" s="17" customFormat="1" x14ac:dyDescent="0.25">
      <c r="A1549" s="229"/>
      <c r="B1549" s="55"/>
      <c r="C1549" s="55"/>
      <c r="D1549" s="55"/>
      <c r="G1549" s="202"/>
      <c r="H1549" s="144"/>
      <c r="J1549" s="145"/>
      <c r="K1549" s="148"/>
      <c r="L1549" s="149"/>
    </row>
    <row r="1550" spans="1:12" s="17" customFormat="1" x14ac:dyDescent="0.25">
      <c r="A1550" s="229"/>
      <c r="B1550" s="55"/>
      <c r="C1550" s="55"/>
      <c r="D1550" s="55"/>
      <c r="G1550" s="202"/>
      <c r="H1550" s="144"/>
      <c r="J1550" s="145"/>
      <c r="K1550" s="148"/>
      <c r="L1550" s="149"/>
    </row>
    <row r="1551" spans="1:12" s="17" customFormat="1" x14ac:dyDescent="0.25">
      <c r="A1551" s="229"/>
      <c r="B1551" s="55"/>
      <c r="C1551" s="55"/>
      <c r="D1551" s="55"/>
      <c r="G1551" s="202"/>
      <c r="H1551" s="144"/>
      <c r="J1551" s="145"/>
      <c r="K1551" s="148"/>
      <c r="L1551" s="149"/>
    </row>
    <row r="1552" spans="1:12" s="17" customFormat="1" x14ac:dyDescent="0.25">
      <c r="A1552" s="229"/>
      <c r="B1552" s="55"/>
      <c r="C1552" s="55"/>
      <c r="D1552" s="55"/>
      <c r="G1552" s="202"/>
      <c r="H1552" s="144"/>
      <c r="J1552" s="145"/>
      <c r="K1552" s="148"/>
      <c r="L1552" s="149"/>
    </row>
    <row r="1553" spans="1:12" s="17" customFormat="1" x14ac:dyDescent="0.25">
      <c r="A1553" s="229"/>
      <c r="B1553" s="55"/>
      <c r="C1553" s="55"/>
      <c r="D1553" s="55"/>
      <c r="G1553" s="202"/>
      <c r="H1553" s="144"/>
      <c r="J1553" s="145"/>
      <c r="K1553" s="148"/>
      <c r="L1553" s="149"/>
    </row>
    <row r="1554" spans="1:12" s="17" customFormat="1" x14ac:dyDescent="0.25">
      <c r="A1554" s="229"/>
      <c r="B1554" s="55"/>
      <c r="C1554" s="55"/>
      <c r="D1554" s="55"/>
      <c r="G1554" s="202"/>
      <c r="H1554" s="144"/>
      <c r="J1554" s="145"/>
      <c r="K1554" s="148"/>
      <c r="L1554" s="149"/>
    </row>
    <row r="1555" spans="1:12" s="17" customFormat="1" x14ac:dyDescent="0.25">
      <c r="A1555" s="229"/>
      <c r="B1555" s="55"/>
      <c r="C1555" s="55"/>
      <c r="D1555" s="55"/>
      <c r="G1555" s="202"/>
      <c r="H1555" s="144"/>
      <c r="J1555" s="145"/>
      <c r="K1555" s="148"/>
      <c r="L1555" s="149"/>
    </row>
    <row r="1556" spans="1:12" s="17" customFormat="1" x14ac:dyDescent="0.25">
      <c r="A1556" s="229"/>
      <c r="B1556" s="55"/>
      <c r="C1556" s="55"/>
      <c r="D1556" s="55"/>
      <c r="G1556" s="202"/>
      <c r="H1556" s="144"/>
      <c r="J1556" s="145"/>
      <c r="K1556" s="148"/>
      <c r="L1556" s="149"/>
    </row>
    <row r="1557" spans="1:12" s="17" customFormat="1" x14ac:dyDescent="0.25">
      <c r="A1557" s="229"/>
      <c r="B1557" s="55"/>
      <c r="C1557" s="55"/>
      <c r="D1557" s="55"/>
      <c r="G1557" s="202"/>
      <c r="H1557" s="144"/>
      <c r="J1557" s="145"/>
      <c r="K1557" s="148"/>
      <c r="L1557" s="149"/>
    </row>
    <row r="1558" spans="1:12" s="17" customFormat="1" x14ac:dyDescent="0.25">
      <c r="A1558" s="229"/>
      <c r="B1558" s="55"/>
      <c r="C1558" s="55"/>
      <c r="D1558" s="55"/>
      <c r="G1558" s="202"/>
      <c r="H1558" s="144"/>
      <c r="J1558" s="145"/>
      <c r="K1558" s="148"/>
      <c r="L1558" s="149"/>
    </row>
    <row r="1559" spans="1:12" s="17" customFormat="1" x14ac:dyDescent="0.25">
      <c r="A1559" s="229"/>
      <c r="B1559" s="55"/>
      <c r="C1559" s="55"/>
      <c r="D1559" s="55"/>
      <c r="G1559" s="202"/>
      <c r="H1559" s="144"/>
      <c r="J1559" s="145"/>
      <c r="K1559" s="148"/>
      <c r="L1559" s="149"/>
    </row>
    <row r="1560" spans="1:12" s="17" customFormat="1" x14ac:dyDescent="0.25">
      <c r="A1560" s="229"/>
      <c r="B1560" s="55"/>
      <c r="C1560" s="55"/>
      <c r="D1560" s="55"/>
      <c r="G1560" s="202"/>
      <c r="H1560" s="144"/>
      <c r="J1560" s="145"/>
      <c r="K1560" s="148"/>
      <c r="L1560" s="149"/>
    </row>
    <row r="1561" spans="1:12" s="17" customFormat="1" x14ac:dyDescent="0.25">
      <c r="A1561" s="229"/>
      <c r="B1561" s="55"/>
      <c r="C1561" s="55"/>
      <c r="D1561" s="55"/>
      <c r="G1561" s="202"/>
      <c r="H1561" s="144"/>
      <c r="J1561" s="145"/>
      <c r="K1561" s="148"/>
      <c r="L1561" s="149"/>
    </row>
    <row r="1562" spans="1:12" s="17" customFormat="1" x14ac:dyDescent="0.25">
      <c r="A1562" s="229"/>
      <c r="B1562" s="55"/>
      <c r="C1562" s="55"/>
      <c r="D1562" s="55"/>
      <c r="G1562" s="202"/>
      <c r="H1562" s="144"/>
      <c r="J1562" s="145"/>
      <c r="K1562" s="148"/>
      <c r="L1562" s="149"/>
    </row>
    <row r="1563" spans="1:12" s="17" customFormat="1" x14ac:dyDescent="0.25">
      <c r="A1563" s="229"/>
      <c r="B1563" s="55"/>
      <c r="C1563" s="55"/>
      <c r="D1563" s="55"/>
      <c r="G1563" s="202"/>
      <c r="H1563" s="144"/>
      <c r="J1563" s="145"/>
      <c r="K1563" s="148"/>
      <c r="L1563" s="149"/>
    </row>
    <row r="1564" spans="1:12" s="17" customFormat="1" x14ac:dyDescent="0.25">
      <c r="A1564" s="229"/>
      <c r="B1564" s="55"/>
      <c r="C1564" s="55"/>
      <c r="D1564" s="55"/>
      <c r="G1564" s="202"/>
      <c r="H1564" s="144"/>
      <c r="J1564" s="145"/>
      <c r="K1564" s="148"/>
      <c r="L1564" s="149"/>
    </row>
    <row r="1565" spans="1:12" s="17" customFormat="1" x14ac:dyDescent="0.25">
      <c r="A1565" s="229"/>
      <c r="B1565" s="55"/>
      <c r="C1565" s="55"/>
      <c r="D1565" s="55"/>
      <c r="G1565" s="202"/>
      <c r="H1565" s="144"/>
      <c r="J1565" s="145"/>
      <c r="K1565" s="148"/>
      <c r="L1565" s="149"/>
    </row>
    <row r="1566" spans="1:12" s="17" customFormat="1" x14ac:dyDescent="0.25">
      <c r="A1566" s="229"/>
      <c r="B1566" s="55"/>
      <c r="C1566" s="55"/>
      <c r="D1566" s="55"/>
      <c r="G1566" s="202"/>
      <c r="H1566" s="144"/>
      <c r="J1566" s="145"/>
      <c r="K1566" s="148"/>
      <c r="L1566" s="149"/>
    </row>
    <row r="1567" spans="1:12" s="17" customFormat="1" x14ac:dyDescent="0.25">
      <c r="A1567" s="229"/>
      <c r="B1567" s="55"/>
      <c r="C1567" s="55"/>
      <c r="D1567" s="55"/>
      <c r="G1567" s="202"/>
      <c r="H1567" s="144"/>
      <c r="J1567" s="145"/>
      <c r="K1567" s="148"/>
      <c r="L1567" s="149"/>
    </row>
    <row r="1568" spans="1:12" s="17" customFormat="1" x14ac:dyDescent="0.25">
      <c r="A1568" s="229"/>
      <c r="B1568" s="55"/>
      <c r="C1568" s="55"/>
      <c r="D1568" s="55"/>
      <c r="G1568" s="202"/>
      <c r="H1568" s="144"/>
      <c r="J1568" s="145"/>
      <c r="K1568" s="148"/>
      <c r="L1568" s="149"/>
    </row>
    <row r="1569" spans="1:12" s="17" customFormat="1" x14ac:dyDescent="0.25">
      <c r="A1569" s="229"/>
      <c r="B1569" s="55"/>
      <c r="C1569" s="55"/>
      <c r="D1569" s="55"/>
      <c r="G1569" s="202"/>
      <c r="H1569" s="144"/>
      <c r="J1569" s="145"/>
      <c r="K1569" s="148"/>
      <c r="L1569" s="149"/>
    </row>
    <row r="1570" spans="1:12" s="17" customFormat="1" x14ac:dyDescent="0.25">
      <c r="A1570" s="229"/>
      <c r="B1570" s="55"/>
      <c r="C1570" s="55"/>
      <c r="D1570" s="55"/>
      <c r="G1570" s="202"/>
      <c r="H1570" s="144"/>
      <c r="J1570" s="145"/>
      <c r="K1570" s="148"/>
      <c r="L1570" s="149"/>
    </row>
    <row r="1571" spans="1:12" s="17" customFormat="1" x14ac:dyDescent="0.25">
      <c r="A1571" s="229"/>
      <c r="B1571" s="55"/>
      <c r="C1571" s="55"/>
      <c r="D1571" s="55"/>
      <c r="G1571" s="202"/>
      <c r="H1571" s="144"/>
      <c r="J1571" s="145"/>
      <c r="K1571" s="148"/>
      <c r="L1571" s="149"/>
    </row>
    <row r="1572" spans="1:12" s="17" customFormat="1" x14ac:dyDescent="0.25">
      <c r="A1572" s="229"/>
      <c r="B1572" s="55"/>
      <c r="C1572" s="55"/>
      <c r="D1572" s="55"/>
      <c r="G1572" s="202"/>
      <c r="H1572" s="144"/>
      <c r="J1572" s="145"/>
      <c r="K1572" s="148"/>
      <c r="L1572" s="149"/>
    </row>
    <row r="1573" spans="1:12" s="17" customFormat="1" x14ac:dyDescent="0.25">
      <c r="A1573" s="229"/>
      <c r="B1573" s="55"/>
      <c r="C1573" s="55"/>
      <c r="D1573" s="55"/>
      <c r="G1573" s="202"/>
      <c r="H1573" s="144"/>
      <c r="J1573" s="145"/>
      <c r="K1573" s="148"/>
      <c r="L1573" s="149"/>
    </row>
    <row r="1574" spans="1:12" s="17" customFormat="1" x14ac:dyDescent="0.25">
      <c r="A1574" s="229"/>
      <c r="B1574" s="55"/>
      <c r="C1574" s="55"/>
      <c r="D1574" s="55"/>
      <c r="G1574" s="202"/>
      <c r="H1574" s="144"/>
      <c r="J1574" s="145"/>
      <c r="K1574" s="148"/>
      <c r="L1574" s="149"/>
    </row>
    <row r="1575" spans="1:12" s="17" customFormat="1" x14ac:dyDescent="0.25">
      <c r="A1575" s="229"/>
      <c r="B1575" s="55"/>
      <c r="C1575" s="55"/>
      <c r="D1575" s="55"/>
      <c r="G1575" s="202"/>
      <c r="H1575" s="144"/>
      <c r="J1575" s="145"/>
      <c r="K1575" s="148"/>
      <c r="L1575" s="149"/>
    </row>
    <row r="1576" spans="1:12" s="17" customFormat="1" x14ac:dyDescent="0.25">
      <c r="A1576" s="229"/>
      <c r="B1576" s="55"/>
      <c r="C1576" s="55"/>
      <c r="D1576" s="55"/>
      <c r="G1576" s="202"/>
      <c r="H1576" s="144"/>
      <c r="J1576" s="145"/>
      <c r="K1576" s="148"/>
      <c r="L1576" s="149"/>
    </row>
    <row r="1577" spans="1:12" s="17" customFormat="1" x14ac:dyDescent="0.25">
      <c r="A1577" s="229"/>
      <c r="B1577" s="55"/>
      <c r="C1577" s="55"/>
      <c r="D1577" s="55"/>
      <c r="G1577" s="202"/>
      <c r="H1577" s="144"/>
      <c r="J1577" s="145"/>
      <c r="K1577" s="148"/>
      <c r="L1577" s="149"/>
    </row>
    <row r="1578" spans="1:12" s="17" customFormat="1" x14ac:dyDescent="0.25">
      <c r="A1578" s="229"/>
      <c r="B1578" s="55"/>
      <c r="C1578" s="55"/>
      <c r="D1578" s="55"/>
      <c r="G1578" s="202"/>
      <c r="H1578" s="144"/>
      <c r="J1578" s="145"/>
      <c r="K1578" s="148"/>
      <c r="L1578" s="149"/>
    </row>
    <row r="1579" spans="1:12" s="17" customFormat="1" x14ac:dyDescent="0.25">
      <c r="A1579" s="229"/>
      <c r="B1579" s="55"/>
      <c r="C1579" s="55"/>
      <c r="D1579" s="55"/>
      <c r="G1579" s="202"/>
      <c r="H1579" s="144"/>
      <c r="J1579" s="145"/>
      <c r="K1579" s="148"/>
      <c r="L1579" s="149"/>
    </row>
    <row r="1580" spans="1:12" s="17" customFormat="1" x14ac:dyDescent="0.25">
      <c r="A1580" s="229"/>
      <c r="B1580" s="55"/>
      <c r="C1580" s="55"/>
      <c r="D1580" s="55"/>
      <c r="G1580" s="202"/>
      <c r="H1580" s="144"/>
      <c r="J1580" s="145"/>
      <c r="K1580" s="148"/>
      <c r="L1580" s="149"/>
    </row>
    <row r="1581" spans="1:12" s="17" customFormat="1" x14ac:dyDescent="0.25">
      <c r="A1581" s="229"/>
      <c r="B1581" s="55"/>
      <c r="C1581" s="55"/>
      <c r="D1581" s="55"/>
      <c r="G1581" s="202"/>
      <c r="H1581" s="144"/>
      <c r="J1581" s="145"/>
      <c r="K1581" s="148"/>
      <c r="L1581" s="149"/>
    </row>
    <row r="1582" spans="1:12" s="17" customFormat="1" x14ac:dyDescent="0.25">
      <c r="A1582" s="229"/>
      <c r="B1582" s="55"/>
      <c r="C1582" s="55"/>
      <c r="D1582" s="55"/>
      <c r="G1582" s="202"/>
      <c r="H1582" s="144"/>
      <c r="J1582" s="145"/>
      <c r="K1582" s="148"/>
      <c r="L1582" s="149"/>
    </row>
    <row r="1583" spans="1:12" s="17" customFormat="1" x14ac:dyDescent="0.25">
      <c r="A1583" s="229"/>
      <c r="B1583" s="55"/>
      <c r="C1583" s="55"/>
      <c r="D1583" s="55"/>
      <c r="G1583" s="202"/>
      <c r="H1583" s="144"/>
      <c r="J1583" s="145"/>
      <c r="K1583" s="148"/>
      <c r="L1583" s="149"/>
    </row>
    <row r="1584" spans="1:12" s="17" customFormat="1" x14ac:dyDescent="0.25">
      <c r="A1584" s="229"/>
      <c r="B1584" s="55"/>
      <c r="C1584" s="55"/>
      <c r="D1584" s="55"/>
      <c r="G1584" s="202"/>
      <c r="H1584" s="144"/>
      <c r="J1584" s="145"/>
      <c r="K1584" s="148"/>
      <c r="L1584" s="149"/>
    </row>
    <row r="1585" spans="1:12" s="17" customFormat="1" x14ac:dyDescent="0.25">
      <c r="A1585" s="229"/>
      <c r="B1585" s="55"/>
      <c r="C1585" s="55"/>
      <c r="D1585" s="55"/>
      <c r="G1585" s="202"/>
      <c r="H1585" s="144"/>
      <c r="J1585" s="145"/>
      <c r="K1585" s="148"/>
      <c r="L1585" s="149"/>
    </row>
    <row r="1586" spans="1:12" s="17" customFormat="1" x14ac:dyDescent="0.25">
      <c r="A1586" s="229"/>
      <c r="B1586" s="55"/>
      <c r="C1586" s="55"/>
      <c r="D1586" s="55"/>
      <c r="G1586" s="202"/>
      <c r="H1586" s="144"/>
      <c r="J1586" s="145"/>
      <c r="K1586" s="148"/>
      <c r="L1586" s="149"/>
    </row>
    <row r="1587" spans="1:12" s="17" customFormat="1" x14ac:dyDescent="0.25">
      <c r="A1587" s="229"/>
      <c r="B1587" s="55"/>
      <c r="C1587" s="55"/>
      <c r="D1587" s="55"/>
      <c r="G1587" s="202"/>
      <c r="H1587" s="144"/>
      <c r="J1587" s="145"/>
      <c r="K1587" s="148"/>
      <c r="L1587" s="149"/>
    </row>
    <row r="1588" spans="1:12" s="17" customFormat="1" x14ac:dyDescent="0.25">
      <c r="A1588" s="229"/>
      <c r="B1588" s="55"/>
      <c r="C1588" s="55"/>
      <c r="D1588" s="55"/>
      <c r="G1588" s="202"/>
      <c r="H1588" s="144"/>
      <c r="J1588" s="145"/>
      <c r="K1588" s="148"/>
      <c r="L1588" s="149"/>
    </row>
    <row r="1589" spans="1:12" s="17" customFormat="1" x14ac:dyDescent="0.25">
      <c r="A1589" s="229"/>
      <c r="B1589" s="55"/>
      <c r="C1589" s="55"/>
      <c r="D1589" s="55"/>
      <c r="G1589" s="202"/>
      <c r="H1589" s="144"/>
      <c r="J1589" s="145"/>
      <c r="K1589" s="148"/>
      <c r="L1589" s="149"/>
    </row>
    <row r="1590" spans="1:12" s="17" customFormat="1" x14ac:dyDescent="0.25">
      <c r="A1590" s="229"/>
      <c r="B1590" s="55"/>
      <c r="C1590" s="55"/>
      <c r="D1590" s="55"/>
      <c r="G1590" s="202"/>
      <c r="H1590" s="144"/>
      <c r="J1590" s="145"/>
      <c r="K1590" s="148"/>
      <c r="L1590" s="149"/>
    </row>
    <row r="1591" spans="1:12" s="17" customFormat="1" x14ac:dyDescent="0.25">
      <c r="A1591" s="229"/>
      <c r="B1591" s="55"/>
      <c r="C1591" s="55"/>
      <c r="D1591" s="55"/>
      <c r="G1591" s="202"/>
      <c r="H1591" s="144"/>
      <c r="J1591" s="145"/>
      <c r="K1591" s="148"/>
      <c r="L1591" s="149"/>
    </row>
    <row r="1592" spans="1:12" s="17" customFormat="1" x14ac:dyDescent="0.25">
      <c r="A1592" s="229"/>
      <c r="B1592" s="55"/>
      <c r="C1592" s="55"/>
      <c r="D1592" s="55"/>
      <c r="G1592" s="202"/>
      <c r="H1592" s="144"/>
      <c r="J1592" s="145"/>
      <c r="K1592" s="148"/>
      <c r="L1592" s="149"/>
    </row>
    <row r="1593" spans="1:12" s="17" customFormat="1" x14ac:dyDescent="0.25">
      <c r="A1593" s="229"/>
      <c r="B1593" s="55"/>
      <c r="C1593" s="55"/>
      <c r="D1593" s="55"/>
      <c r="G1593" s="202"/>
      <c r="H1593" s="144"/>
      <c r="J1593" s="145"/>
      <c r="K1593" s="148"/>
      <c r="L1593" s="149"/>
    </row>
    <row r="1594" spans="1:12" s="17" customFormat="1" x14ac:dyDescent="0.25">
      <c r="A1594" s="229"/>
      <c r="B1594" s="55"/>
      <c r="C1594" s="55"/>
      <c r="D1594" s="55"/>
      <c r="G1594" s="202"/>
      <c r="H1594" s="144"/>
      <c r="J1594" s="145"/>
      <c r="K1594" s="148"/>
      <c r="L1594" s="149"/>
    </row>
    <row r="1595" spans="1:12" s="17" customFormat="1" x14ac:dyDescent="0.25">
      <c r="A1595" s="229"/>
      <c r="B1595" s="55"/>
      <c r="C1595" s="55"/>
      <c r="D1595" s="55"/>
      <c r="G1595" s="202"/>
      <c r="H1595" s="144"/>
      <c r="J1595" s="145"/>
      <c r="K1595" s="148"/>
      <c r="L1595" s="149"/>
    </row>
    <row r="1596" spans="1:12" s="17" customFormat="1" x14ac:dyDescent="0.25">
      <c r="A1596" s="229"/>
      <c r="B1596" s="55"/>
      <c r="C1596" s="55"/>
      <c r="D1596" s="55"/>
      <c r="G1596" s="202"/>
      <c r="H1596" s="144"/>
      <c r="J1596" s="145"/>
      <c r="K1596" s="148"/>
      <c r="L1596" s="149"/>
    </row>
    <row r="1597" spans="1:12" s="17" customFormat="1" x14ac:dyDescent="0.25">
      <c r="A1597" s="229"/>
      <c r="B1597" s="55"/>
      <c r="C1597" s="55"/>
      <c r="D1597" s="55"/>
      <c r="G1597" s="202"/>
      <c r="H1597" s="144"/>
      <c r="J1597" s="145"/>
      <c r="K1597" s="148"/>
      <c r="L1597" s="149"/>
    </row>
    <row r="1598" spans="1:12" s="17" customFormat="1" x14ac:dyDescent="0.25">
      <c r="A1598" s="229"/>
      <c r="B1598" s="55"/>
      <c r="C1598" s="55"/>
      <c r="D1598" s="55"/>
      <c r="G1598" s="202"/>
      <c r="H1598" s="144"/>
      <c r="J1598" s="145"/>
      <c r="K1598" s="148"/>
      <c r="L1598" s="149"/>
    </row>
    <row r="1599" spans="1:12" s="17" customFormat="1" x14ac:dyDescent="0.25">
      <c r="A1599" s="229"/>
      <c r="B1599" s="55"/>
      <c r="C1599" s="55"/>
      <c r="D1599" s="55"/>
      <c r="G1599" s="202"/>
      <c r="H1599" s="144"/>
      <c r="J1599" s="145"/>
      <c r="K1599" s="148"/>
      <c r="L1599" s="149"/>
    </row>
    <row r="1600" spans="1:12" s="17" customFormat="1" x14ac:dyDescent="0.25">
      <c r="A1600" s="229"/>
      <c r="B1600" s="55"/>
      <c r="C1600" s="55"/>
      <c r="D1600" s="55"/>
      <c r="G1600" s="202"/>
      <c r="H1600" s="144"/>
      <c r="J1600" s="145"/>
      <c r="K1600" s="148"/>
      <c r="L1600" s="149"/>
    </row>
    <row r="1601" spans="1:12" s="17" customFormat="1" x14ac:dyDescent="0.25">
      <c r="A1601" s="229"/>
      <c r="B1601" s="55"/>
      <c r="C1601" s="55"/>
      <c r="D1601" s="55"/>
      <c r="G1601" s="202"/>
      <c r="H1601" s="144"/>
      <c r="J1601" s="145"/>
      <c r="K1601" s="148"/>
      <c r="L1601" s="149"/>
    </row>
    <row r="1602" spans="1:12" s="17" customFormat="1" x14ac:dyDescent="0.25">
      <c r="A1602" s="229"/>
      <c r="B1602" s="55"/>
      <c r="C1602" s="55"/>
      <c r="D1602" s="55"/>
      <c r="G1602" s="202"/>
      <c r="H1602" s="144"/>
      <c r="J1602" s="145"/>
      <c r="K1602" s="148"/>
      <c r="L1602" s="149"/>
    </row>
    <row r="1603" spans="1:12" s="17" customFormat="1" x14ac:dyDescent="0.25">
      <c r="A1603" s="229"/>
      <c r="B1603" s="55"/>
      <c r="C1603" s="55"/>
      <c r="D1603" s="55"/>
      <c r="G1603" s="202"/>
      <c r="H1603" s="144"/>
      <c r="J1603" s="145"/>
      <c r="K1603" s="148"/>
      <c r="L1603" s="149"/>
    </row>
    <row r="1604" spans="1:12" s="17" customFormat="1" x14ac:dyDescent="0.25">
      <c r="A1604" s="229"/>
      <c r="B1604" s="55"/>
      <c r="C1604" s="55"/>
      <c r="D1604" s="55"/>
      <c r="G1604" s="202"/>
      <c r="H1604" s="144"/>
      <c r="J1604" s="145"/>
      <c r="K1604" s="148"/>
      <c r="L1604" s="149"/>
    </row>
    <row r="1605" spans="1:12" s="17" customFormat="1" x14ac:dyDescent="0.25">
      <c r="A1605" s="229"/>
      <c r="B1605" s="55"/>
      <c r="C1605" s="55"/>
      <c r="D1605" s="55"/>
      <c r="G1605" s="202"/>
      <c r="H1605" s="144"/>
      <c r="J1605" s="145"/>
      <c r="K1605" s="148"/>
      <c r="L1605" s="149"/>
    </row>
    <row r="1606" spans="1:12" s="17" customFormat="1" x14ac:dyDescent="0.25">
      <c r="A1606" s="229"/>
      <c r="B1606" s="55"/>
      <c r="C1606" s="55"/>
      <c r="D1606" s="55"/>
      <c r="G1606" s="202"/>
      <c r="H1606" s="144"/>
      <c r="J1606" s="145"/>
      <c r="K1606" s="148"/>
      <c r="L1606" s="149"/>
    </row>
    <row r="1607" spans="1:12" s="17" customFormat="1" x14ac:dyDescent="0.25">
      <c r="A1607" s="229"/>
      <c r="B1607" s="55"/>
      <c r="C1607" s="55"/>
      <c r="D1607" s="55"/>
      <c r="G1607" s="202"/>
      <c r="H1607" s="144"/>
      <c r="J1607" s="145"/>
      <c r="K1607" s="148"/>
      <c r="L1607" s="149"/>
    </row>
    <row r="1608" spans="1:12" s="17" customFormat="1" x14ac:dyDescent="0.25">
      <c r="A1608" s="229"/>
      <c r="B1608" s="55"/>
      <c r="C1608" s="55"/>
      <c r="D1608" s="55"/>
      <c r="G1608" s="202"/>
      <c r="H1608" s="144"/>
      <c r="J1608" s="145"/>
      <c r="K1608" s="148"/>
      <c r="L1608" s="149"/>
    </row>
    <row r="1609" spans="1:12" s="17" customFormat="1" x14ac:dyDescent="0.25">
      <c r="A1609" s="229"/>
      <c r="B1609" s="55"/>
      <c r="C1609" s="55"/>
      <c r="D1609" s="55"/>
      <c r="G1609" s="202"/>
      <c r="H1609" s="144"/>
      <c r="J1609" s="145"/>
      <c r="K1609" s="148"/>
      <c r="L1609" s="149"/>
    </row>
    <row r="1610" spans="1:12" s="17" customFormat="1" x14ac:dyDescent="0.25">
      <c r="A1610" s="229"/>
      <c r="B1610" s="55"/>
      <c r="C1610" s="55"/>
      <c r="D1610" s="55"/>
      <c r="G1610" s="202"/>
      <c r="H1610" s="144"/>
      <c r="J1610" s="145"/>
      <c r="K1610" s="148"/>
      <c r="L1610" s="149"/>
    </row>
    <row r="1611" spans="1:12" s="17" customFormat="1" x14ac:dyDescent="0.25">
      <c r="A1611" s="229"/>
      <c r="B1611" s="55"/>
      <c r="C1611" s="55"/>
      <c r="D1611" s="55"/>
      <c r="G1611" s="202"/>
      <c r="H1611" s="144"/>
      <c r="J1611" s="145"/>
      <c r="K1611" s="148"/>
      <c r="L1611" s="149"/>
    </row>
    <row r="1612" spans="1:12" s="17" customFormat="1" x14ac:dyDescent="0.25">
      <c r="A1612" s="229"/>
      <c r="B1612" s="55"/>
      <c r="C1612" s="55"/>
      <c r="D1612" s="55"/>
      <c r="G1612" s="202"/>
      <c r="H1612" s="144"/>
      <c r="J1612" s="145"/>
      <c r="K1612" s="148"/>
      <c r="L1612" s="149"/>
    </row>
    <row r="1613" spans="1:12" s="17" customFormat="1" x14ac:dyDescent="0.25">
      <c r="A1613" s="229"/>
      <c r="B1613" s="55"/>
      <c r="C1613" s="55"/>
      <c r="D1613" s="55"/>
      <c r="G1613" s="202"/>
      <c r="H1613" s="144"/>
      <c r="J1613" s="145"/>
      <c r="K1613" s="148"/>
      <c r="L1613" s="149"/>
    </row>
    <row r="1614" spans="1:12" s="17" customFormat="1" x14ac:dyDescent="0.25">
      <c r="A1614" s="229"/>
      <c r="B1614" s="55"/>
      <c r="C1614" s="55"/>
      <c r="D1614" s="55"/>
      <c r="G1614" s="202"/>
      <c r="H1614" s="144"/>
      <c r="J1614" s="145"/>
      <c r="K1614" s="148"/>
      <c r="L1614" s="149"/>
    </row>
    <row r="1615" spans="1:12" s="17" customFormat="1" x14ac:dyDescent="0.25">
      <c r="A1615" s="229"/>
      <c r="B1615" s="55"/>
      <c r="C1615" s="55"/>
      <c r="D1615" s="55"/>
      <c r="G1615" s="202"/>
      <c r="H1615" s="144"/>
      <c r="J1615" s="145"/>
      <c r="K1615" s="148"/>
      <c r="L1615" s="149"/>
    </row>
    <row r="1616" spans="1:12" s="17" customFormat="1" x14ac:dyDescent="0.25">
      <c r="A1616" s="229"/>
      <c r="B1616" s="55"/>
      <c r="C1616" s="55"/>
      <c r="D1616" s="55"/>
      <c r="G1616" s="202"/>
      <c r="H1616" s="144"/>
      <c r="J1616" s="145"/>
      <c r="K1616" s="148"/>
      <c r="L1616" s="149"/>
    </row>
    <row r="1617" spans="1:12" s="17" customFormat="1" x14ac:dyDescent="0.25">
      <c r="A1617" s="229"/>
      <c r="B1617" s="55"/>
      <c r="C1617" s="55"/>
      <c r="D1617" s="55"/>
      <c r="G1617" s="202"/>
      <c r="H1617" s="144"/>
      <c r="J1617" s="145"/>
      <c r="K1617" s="148"/>
      <c r="L1617" s="149"/>
    </row>
    <row r="1618" spans="1:12" s="17" customFormat="1" x14ac:dyDescent="0.25">
      <c r="A1618" s="229"/>
      <c r="B1618" s="55"/>
      <c r="C1618" s="55"/>
      <c r="D1618" s="55"/>
      <c r="G1618" s="202"/>
      <c r="H1618" s="144"/>
      <c r="J1618" s="145"/>
      <c r="K1618" s="148"/>
      <c r="L1618" s="149"/>
    </row>
    <row r="1619" spans="1:12" s="17" customFormat="1" x14ac:dyDescent="0.25">
      <c r="A1619" s="229"/>
      <c r="B1619" s="55"/>
      <c r="C1619" s="55"/>
      <c r="D1619" s="55"/>
      <c r="G1619" s="202"/>
      <c r="H1619" s="144"/>
      <c r="J1619" s="145"/>
      <c r="K1619" s="148"/>
      <c r="L1619" s="149"/>
    </row>
    <row r="1620" spans="1:12" s="17" customFormat="1" x14ac:dyDescent="0.25">
      <c r="A1620" s="229"/>
      <c r="B1620" s="55"/>
      <c r="C1620" s="55"/>
      <c r="D1620" s="55"/>
      <c r="G1620" s="202"/>
      <c r="H1620" s="144"/>
      <c r="J1620" s="145"/>
      <c r="K1620" s="148"/>
      <c r="L1620" s="149"/>
    </row>
    <row r="1621" spans="1:12" s="17" customFormat="1" x14ac:dyDescent="0.25">
      <c r="A1621" s="229"/>
      <c r="B1621" s="55"/>
      <c r="C1621" s="55"/>
      <c r="D1621" s="55"/>
      <c r="G1621" s="202"/>
      <c r="H1621" s="144"/>
      <c r="J1621" s="145"/>
      <c r="K1621" s="148"/>
      <c r="L1621" s="149"/>
    </row>
    <row r="1622" spans="1:12" s="17" customFormat="1" x14ac:dyDescent="0.25">
      <c r="A1622" s="229"/>
      <c r="B1622" s="55"/>
      <c r="C1622" s="55"/>
      <c r="D1622" s="55"/>
      <c r="G1622" s="202"/>
      <c r="H1622" s="144"/>
      <c r="J1622" s="145"/>
      <c r="K1622" s="148"/>
      <c r="L1622" s="149"/>
    </row>
    <row r="1623" spans="1:12" s="17" customFormat="1" x14ac:dyDescent="0.25">
      <c r="A1623" s="229"/>
      <c r="B1623" s="55"/>
      <c r="C1623" s="55"/>
      <c r="D1623" s="55"/>
      <c r="G1623" s="202"/>
      <c r="H1623" s="144"/>
      <c r="J1623" s="145"/>
      <c r="K1623" s="148"/>
      <c r="L1623" s="149"/>
    </row>
    <row r="1624" spans="1:12" s="17" customFormat="1" x14ac:dyDescent="0.25">
      <c r="A1624" s="229"/>
      <c r="B1624" s="55"/>
      <c r="C1624" s="55"/>
      <c r="D1624" s="55"/>
      <c r="G1624" s="202"/>
      <c r="H1624" s="144"/>
      <c r="J1624" s="145"/>
      <c r="K1624" s="148"/>
      <c r="L1624" s="149"/>
    </row>
    <row r="1625" spans="1:12" s="17" customFormat="1" x14ac:dyDescent="0.25">
      <c r="A1625" s="229"/>
      <c r="B1625" s="55"/>
      <c r="C1625" s="55"/>
      <c r="D1625" s="55"/>
      <c r="G1625" s="202"/>
      <c r="H1625" s="144"/>
      <c r="J1625" s="145"/>
      <c r="K1625" s="148"/>
      <c r="L1625" s="149"/>
    </row>
    <row r="1626" spans="1:12" s="17" customFormat="1" x14ac:dyDescent="0.25">
      <c r="A1626" s="229"/>
      <c r="B1626" s="55"/>
      <c r="C1626" s="55"/>
      <c r="D1626" s="55"/>
      <c r="G1626" s="202"/>
      <c r="H1626" s="144"/>
      <c r="J1626" s="145"/>
      <c r="K1626" s="148"/>
      <c r="L1626" s="149"/>
    </row>
    <row r="1627" spans="1:12" s="17" customFormat="1" x14ac:dyDescent="0.25">
      <c r="A1627" s="229"/>
      <c r="B1627" s="55"/>
      <c r="C1627" s="55"/>
      <c r="D1627" s="55"/>
      <c r="G1627" s="202"/>
      <c r="H1627" s="144"/>
      <c r="J1627" s="145"/>
      <c r="K1627" s="148"/>
      <c r="L1627" s="149"/>
    </row>
    <row r="1628" spans="1:12" s="17" customFormat="1" x14ac:dyDescent="0.25">
      <c r="A1628" s="229"/>
      <c r="B1628" s="55"/>
      <c r="C1628" s="55"/>
      <c r="D1628" s="55"/>
      <c r="G1628" s="202"/>
      <c r="H1628" s="144"/>
      <c r="J1628" s="145"/>
      <c r="K1628" s="148"/>
      <c r="L1628" s="149"/>
    </row>
    <row r="1629" spans="1:12" s="17" customFormat="1" x14ac:dyDescent="0.25">
      <c r="A1629" s="229"/>
      <c r="B1629" s="55"/>
      <c r="C1629" s="55"/>
      <c r="D1629" s="55"/>
      <c r="G1629" s="202"/>
      <c r="H1629" s="144"/>
      <c r="J1629" s="145"/>
      <c r="K1629" s="148"/>
      <c r="L1629" s="149"/>
    </row>
    <row r="1630" spans="1:12" s="17" customFormat="1" x14ac:dyDescent="0.25">
      <c r="A1630" s="229"/>
      <c r="B1630" s="55"/>
      <c r="C1630" s="55"/>
      <c r="D1630" s="55"/>
      <c r="G1630" s="202"/>
      <c r="H1630" s="144"/>
      <c r="J1630" s="145"/>
      <c r="K1630" s="148"/>
      <c r="L1630" s="149"/>
    </row>
    <row r="1631" spans="1:12" s="17" customFormat="1" x14ac:dyDescent="0.25">
      <c r="A1631" s="229"/>
      <c r="B1631" s="55"/>
      <c r="C1631" s="55"/>
      <c r="D1631" s="55"/>
      <c r="G1631" s="202"/>
      <c r="H1631" s="144"/>
      <c r="J1631" s="145"/>
      <c r="K1631" s="148"/>
      <c r="L1631" s="149"/>
    </row>
    <row r="1632" spans="1:12" s="17" customFormat="1" x14ac:dyDescent="0.25">
      <c r="A1632" s="229"/>
      <c r="B1632" s="55"/>
      <c r="C1632" s="55"/>
      <c r="D1632" s="55"/>
      <c r="G1632" s="202"/>
      <c r="H1632" s="144"/>
      <c r="J1632" s="145"/>
      <c r="K1632" s="148"/>
      <c r="L1632" s="149"/>
    </row>
    <row r="1633" spans="1:12" s="17" customFormat="1" x14ac:dyDescent="0.25">
      <c r="A1633" s="229"/>
      <c r="B1633" s="55"/>
      <c r="C1633" s="55"/>
      <c r="D1633" s="55"/>
      <c r="G1633" s="202"/>
      <c r="H1633" s="144"/>
      <c r="J1633" s="145"/>
      <c r="K1633" s="148"/>
      <c r="L1633" s="149"/>
    </row>
    <row r="1634" spans="1:12" s="17" customFormat="1" x14ac:dyDescent="0.25">
      <c r="A1634" s="229"/>
      <c r="B1634" s="55"/>
      <c r="C1634" s="55"/>
      <c r="D1634" s="55"/>
      <c r="G1634" s="202"/>
      <c r="H1634" s="144"/>
      <c r="J1634" s="145"/>
      <c r="K1634" s="148"/>
      <c r="L1634" s="149"/>
    </row>
    <row r="1635" spans="1:12" s="17" customFormat="1" x14ac:dyDescent="0.25">
      <c r="A1635" s="229"/>
      <c r="B1635" s="55"/>
      <c r="C1635" s="55"/>
      <c r="D1635" s="55"/>
      <c r="G1635" s="202"/>
      <c r="H1635" s="144"/>
      <c r="J1635" s="145"/>
      <c r="K1635" s="148"/>
      <c r="L1635" s="149"/>
    </row>
    <row r="1636" spans="1:12" s="17" customFormat="1" x14ac:dyDescent="0.25">
      <c r="A1636" s="229"/>
      <c r="B1636" s="55"/>
      <c r="C1636" s="55"/>
      <c r="D1636" s="55"/>
      <c r="G1636" s="202"/>
      <c r="H1636" s="144"/>
      <c r="J1636" s="145"/>
      <c r="K1636" s="148"/>
      <c r="L1636" s="149"/>
    </row>
    <row r="1637" spans="1:12" s="17" customFormat="1" x14ac:dyDescent="0.25">
      <c r="A1637" s="229"/>
      <c r="B1637" s="55"/>
      <c r="C1637" s="55"/>
      <c r="D1637" s="55"/>
      <c r="G1637" s="202"/>
      <c r="H1637" s="144"/>
      <c r="J1637" s="145"/>
      <c r="K1637" s="148"/>
      <c r="L1637" s="149"/>
    </row>
    <row r="1638" spans="1:12" s="17" customFormat="1" x14ac:dyDescent="0.25">
      <c r="A1638" s="229"/>
      <c r="B1638" s="55"/>
      <c r="C1638" s="55"/>
      <c r="D1638" s="55"/>
      <c r="G1638" s="202"/>
      <c r="H1638" s="144"/>
      <c r="J1638" s="145"/>
      <c r="K1638" s="148"/>
      <c r="L1638" s="149"/>
    </row>
    <row r="1639" spans="1:12" s="17" customFormat="1" x14ac:dyDescent="0.25">
      <c r="A1639" s="229"/>
      <c r="B1639" s="55"/>
      <c r="C1639" s="55"/>
      <c r="D1639" s="55"/>
      <c r="G1639" s="202"/>
      <c r="H1639" s="144"/>
      <c r="J1639" s="145"/>
      <c r="K1639" s="148"/>
      <c r="L1639" s="149"/>
    </row>
    <row r="1640" spans="1:12" s="17" customFormat="1" x14ac:dyDescent="0.25">
      <c r="A1640" s="229"/>
      <c r="B1640" s="55"/>
      <c r="C1640" s="55"/>
      <c r="D1640" s="55"/>
      <c r="G1640" s="202"/>
      <c r="H1640" s="144"/>
      <c r="J1640" s="145"/>
      <c r="K1640" s="148"/>
      <c r="L1640" s="149"/>
    </row>
    <row r="1641" spans="1:12" s="17" customFormat="1" x14ac:dyDescent="0.25">
      <c r="A1641" s="229"/>
      <c r="B1641" s="55"/>
      <c r="C1641" s="55"/>
      <c r="D1641" s="55"/>
      <c r="G1641" s="202"/>
      <c r="H1641" s="144"/>
      <c r="J1641" s="145"/>
      <c r="K1641" s="148"/>
      <c r="L1641" s="149"/>
    </row>
    <row r="1642" spans="1:12" s="17" customFormat="1" x14ac:dyDescent="0.25">
      <c r="A1642" s="229"/>
      <c r="B1642" s="55"/>
      <c r="C1642" s="55"/>
      <c r="D1642" s="55"/>
      <c r="G1642" s="202"/>
      <c r="H1642" s="144"/>
      <c r="J1642" s="145"/>
      <c r="K1642" s="148"/>
      <c r="L1642" s="149"/>
    </row>
    <row r="1643" spans="1:12" s="17" customFormat="1" x14ac:dyDescent="0.25">
      <c r="A1643" s="229"/>
      <c r="B1643" s="55"/>
      <c r="C1643" s="55"/>
      <c r="D1643" s="55"/>
      <c r="G1643" s="202"/>
      <c r="H1643" s="144"/>
      <c r="J1643" s="145"/>
      <c r="K1643" s="148"/>
      <c r="L1643" s="149"/>
    </row>
    <row r="1644" spans="1:12" s="17" customFormat="1" x14ac:dyDescent="0.25">
      <c r="A1644" s="229"/>
      <c r="B1644" s="55"/>
      <c r="C1644" s="55"/>
      <c r="D1644" s="55"/>
      <c r="G1644" s="202"/>
      <c r="H1644" s="144"/>
      <c r="J1644" s="145"/>
      <c r="K1644" s="148"/>
      <c r="L1644" s="149"/>
    </row>
    <row r="1645" spans="1:12" s="17" customFormat="1" x14ac:dyDescent="0.25">
      <c r="A1645" s="229"/>
      <c r="B1645" s="55"/>
      <c r="C1645" s="55"/>
      <c r="D1645" s="55"/>
      <c r="G1645" s="202"/>
      <c r="H1645" s="144"/>
      <c r="J1645" s="145"/>
      <c r="K1645" s="148"/>
      <c r="L1645" s="149"/>
    </row>
    <row r="1646" spans="1:12" s="17" customFormat="1" x14ac:dyDescent="0.25">
      <c r="A1646" s="229"/>
      <c r="B1646" s="55"/>
      <c r="C1646" s="55"/>
      <c r="D1646" s="55"/>
      <c r="G1646" s="202"/>
      <c r="H1646" s="144"/>
      <c r="J1646" s="145"/>
      <c r="K1646" s="148"/>
      <c r="L1646" s="149"/>
    </row>
    <row r="1647" spans="1:12" s="17" customFormat="1" x14ac:dyDescent="0.25">
      <c r="A1647" s="229"/>
      <c r="B1647" s="55"/>
      <c r="C1647" s="55"/>
      <c r="D1647" s="55"/>
      <c r="G1647" s="202"/>
      <c r="H1647" s="144"/>
      <c r="J1647" s="145"/>
      <c r="K1647" s="148"/>
      <c r="L1647" s="149"/>
    </row>
    <row r="1648" spans="1:12" s="17" customFormat="1" x14ac:dyDescent="0.25">
      <c r="A1648" s="229"/>
      <c r="B1648" s="55"/>
      <c r="C1648" s="55"/>
      <c r="D1648" s="55"/>
      <c r="G1648" s="202"/>
      <c r="H1648" s="144"/>
      <c r="J1648" s="145"/>
      <c r="K1648" s="148"/>
      <c r="L1648" s="149"/>
    </row>
    <row r="1649" spans="1:12" s="17" customFormat="1" x14ac:dyDescent="0.25">
      <c r="A1649" s="229"/>
      <c r="B1649" s="55"/>
      <c r="C1649" s="55"/>
      <c r="D1649" s="55"/>
      <c r="G1649" s="202"/>
      <c r="H1649" s="144"/>
      <c r="J1649" s="145"/>
      <c r="K1649" s="148"/>
      <c r="L1649" s="149"/>
    </row>
    <row r="1650" spans="1:12" s="17" customFormat="1" x14ac:dyDescent="0.25">
      <c r="A1650" s="229"/>
      <c r="B1650" s="55"/>
      <c r="C1650" s="55"/>
      <c r="D1650" s="55"/>
      <c r="G1650" s="202"/>
      <c r="H1650" s="144"/>
      <c r="J1650" s="145"/>
      <c r="K1650" s="148"/>
      <c r="L1650" s="149"/>
    </row>
    <row r="1651" spans="1:12" s="17" customFormat="1" x14ac:dyDescent="0.25">
      <c r="A1651" s="229"/>
      <c r="B1651" s="55"/>
      <c r="C1651" s="55"/>
      <c r="D1651" s="55"/>
      <c r="G1651" s="202"/>
      <c r="H1651" s="144"/>
      <c r="J1651" s="145"/>
      <c r="K1651" s="148"/>
      <c r="L1651" s="149"/>
    </row>
    <row r="1652" spans="1:12" s="17" customFormat="1" x14ac:dyDescent="0.25">
      <c r="A1652" s="229"/>
      <c r="B1652" s="55"/>
      <c r="C1652" s="55"/>
      <c r="D1652" s="55"/>
      <c r="G1652" s="202"/>
      <c r="H1652" s="144"/>
      <c r="J1652" s="145"/>
      <c r="K1652" s="148"/>
      <c r="L1652" s="149"/>
    </row>
    <row r="1653" spans="1:12" s="17" customFormat="1" x14ac:dyDescent="0.25">
      <c r="A1653" s="229"/>
      <c r="B1653" s="55"/>
      <c r="C1653" s="55"/>
      <c r="D1653" s="55"/>
      <c r="G1653" s="202"/>
      <c r="H1653" s="144"/>
      <c r="J1653" s="145"/>
      <c r="K1653" s="148"/>
      <c r="L1653" s="149"/>
    </row>
    <row r="1654" spans="1:12" s="17" customFormat="1" x14ac:dyDescent="0.25">
      <c r="A1654" s="229"/>
      <c r="B1654" s="55"/>
      <c r="C1654" s="55"/>
      <c r="D1654" s="55"/>
      <c r="G1654" s="202"/>
      <c r="H1654" s="144"/>
      <c r="J1654" s="145"/>
      <c r="K1654" s="148"/>
      <c r="L1654" s="149"/>
    </row>
    <row r="1655" spans="1:12" s="17" customFormat="1" x14ac:dyDescent="0.25">
      <c r="A1655" s="229"/>
      <c r="B1655" s="55"/>
      <c r="C1655" s="55"/>
      <c r="D1655" s="55"/>
      <c r="G1655" s="202"/>
      <c r="H1655" s="144"/>
      <c r="J1655" s="145"/>
      <c r="K1655" s="148"/>
      <c r="L1655" s="149"/>
    </row>
    <row r="1656" spans="1:12" s="17" customFormat="1" x14ac:dyDescent="0.25">
      <c r="A1656" s="229"/>
      <c r="B1656" s="55"/>
      <c r="C1656" s="55"/>
      <c r="D1656" s="55"/>
      <c r="G1656" s="202"/>
      <c r="H1656" s="144"/>
      <c r="J1656" s="145"/>
      <c r="K1656" s="148"/>
      <c r="L1656" s="149"/>
    </row>
    <row r="1657" spans="1:12" s="17" customFormat="1" x14ac:dyDescent="0.25">
      <c r="A1657" s="229"/>
      <c r="B1657" s="55"/>
      <c r="C1657" s="55"/>
      <c r="D1657" s="55"/>
      <c r="G1657" s="202"/>
      <c r="H1657" s="144"/>
      <c r="J1657" s="145"/>
      <c r="K1657" s="148"/>
      <c r="L1657" s="149"/>
    </row>
    <row r="1658" spans="1:12" s="17" customFormat="1" x14ac:dyDescent="0.25">
      <c r="A1658" s="229"/>
      <c r="B1658" s="55"/>
      <c r="C1658" s="55"/>
      <c r="D1658" s="55"/>
      <c r="G1658" s="202"/>
      <c r="H1658" s="144"/>
      <c r="J1658" s="145"/>
      <c r="K1658" s="148"/>
      <c r="L1658" s="149"/>
    </row>
    <row r="1659" spans="1:12" s="17" customFormat="1" x14ac:dyDescent="0.25">
      <c r="A1659" s="229"/>
      <c r="B1659" s="55"/>
      <c r="C1659" s="55"/>
      <c r="D1659" s="55"/>
      <c r="G1659" s="202"/>
      <c r="H1659" s="144"/>
      <c r="J1659" s="145"/>
      <c r="K1659" s="148"/>
      <c r="L1659" s="149"/>
    </row>
    <row r="1660" spans="1:12" s="17" customFormat="1" x14ac:dyDescent="0.25">
      <c r="A1660" s="229"/>
      <c r="B1660" s="55"/>
      <c r="C1660" s="55"/>
      <c r="D1660" s="55"/>
      <c r="G1660" s="202"/>
      <c r="H1660" s="144"/>
      <c r="J1660" s="145"/>
      <c r="K1660" s="148"/>
      <c r="L1660" s="149"/>
    </row>
    <row r="1661" spans="1:12" s="17" customFormat="1" x14ac:dyDescent="0.25">
      <c r="A1661" s="229"/>
      <c r="B1661" s="55"/>
      <c r="C1661" s="55"/>
      <c r="D1661" s="55"/>
      <c r="G1661" s="202"/>
      <c r="H1661" s="144"/>
      <c r="J1661" s="145"/>
      <c r="K1661" s="148"/>
      <c r="L1661" s="149"/>
    </row>
    <row r="1662" spans="1:12" s="17" customFormat="1" x14ac:dyDescent="0.25">
      <c r="A1662" s="229"/>
      <c r="B1662" s="55"/>
      <c r="C1662" s="55"/>
      <c r="D1662" s="55"/>
      <c r="G1662" s="202"/>
      <c r="H1662" s="144"/>
      <c r="J1662" s="145"/>
      <c r="K1662" s="148"/>
      <c r="L1662" s="149"/>
    </row>
    <row r="1663" spans="1:12" s="17" customFormat="1" x14ac:dyDescent="0.25">
      <c r="A1663" s="229"/>
      <c r="B1663" s="55"/>
      <c r="C1663" s="55"/>
      <c r="D1663" s="55"/>
      <c r="G1663" s="202"/>
      <c r="H1663" s="144"/>
      <c r="J1663" s="145"/>
      <c r="K1663" s="148"/>
      <c r="L1663" s="149"/>
    </row>
    <row r="1664" spans="1:12" s="17" customFormat="1" x14ac:dyDescent="0.25">
      <c r="A1664" s="229"/>
      <c r="B1664" s="55"/>
      <c r="C1664" s="55"/>
      <c r="D1664" s="55"/>
      <c r="G1664" s="202"/>
      <c r="H1664" s="144"/>
      <c r="J1664" s="145"/>
      <c r="K1664" s="148"/>
      <c r="L1664" s="149"/>
    </row>
    <row r="1665" spans="1:12" s="17" customFormat="1" x14ac:dyDescent="0.25">
      <c r="A1665" s="229"/>
      <c r="B1665" s="55"/>
      <c r="C1665" s="55"/>
      <c r="D1665" s="55"/>
      <c r="G1665" s="202"/>
      <c r="H1665" s="144"/>
      <c r="J1665" s="145"/>
      <c r="K1665" s="148"/>
      <c r="L1665" s="149"/>
    </row>
    <row r="1666" spans="1:12" s="17" customFormat="1" x14ac:dyDescent="0.25">
      <c r="A1666" s="229"/>
      <c r="B1666" s="55"/>
      <c r="C1666" s="55"/>
      <c r="D1666" s="55"/>
      <c r="G1666" s="202"/>
      <c r="H1666" s="144"/>
      <c r="J1666" s="145"/>
      <c r="K1666" s="148"/>
      <c r="L1666" s="149"/>
    </row>
    <row r="1667" spans="1:12" s="17" customFormat="1" x14ac:dyDescent="0.25">
      <c r="A1667" s="229"/>
      <c r="B1667" s="55"/>
      <c r="C1667" s="55"/>
      <c r="D1667" s="55"/>
      <c r="G1667" s="202"/>
      <c r="H1667" s="144"/>
      <c r="J1667" s="145"/>
      <c r="K1667" s="148"/>
      <c r="L1667" s="149"/>
    </row>
    <row r="1668" spans="1:12" s="17" customFormat="1" x14ac:dyDescent="0.25">
      <c r="A1668" s="229"/>
      <c r="B1668" s="55"/>
      <c r="C1668" s="55"/>
      <c r="D1668" s="55"/>
      <c r="G1668" s="202"/>
      <c r="H1668" s="144"/>
      <c r="J1668" s="145"/>
      <c r="K1668" s="148"/>
      <c r="L1668" s="149"/>
    </row>
    <row r="1669" spans="1:12" s="17" customFormat="1" x14ac:dyDescent="0.25">
      <c r="A1669" s="229"/>
      <c r="B1669" s="55"/>
      <c r="C1669" s="55"/>
      <c r="D1669" s="55"/>
      <c r="G1669" s="202"/>
      <c r="H1669" s="144"/>
      <c r="J1669" s="145"/>
      <c r="K1669" s="148"/>
      <c r="L1669" s="149"/>
    </row>
    <row r="1670" spans="1:12" s="17" customFormat="1" x14ac:dyDescent="0.25">
      <c r="A1670" s="229"/>
      <c r="B1670" s="55"/>
      <c r="C1670" s="55"/>
      <c r="D1670" s="55"/>
      <c r="G1670" s="202"/>
      <c r="H1670" s="144"/>
      <c r="J1670" s="145"/>
      <c r="K1670" s="148"/>
      <c r="L1670" s="149"/>
    </row>
    <row r="1671" spans="1:12" s="17" customFormat="1" x14ac:dyDescent="0.25">
      <c r="A1671" s="229"/>
      <c r="B1671" s="55"/>
      <c r="C1671" s="55"/>
      <c r="D1671" s="55"/>
      <c r="G1671" s="202"/>
      <c r="H1671" s="144"/>
      <c r="J1671" s="145"/>
      <c r="K1671" s="148"/>
      <c r="L1671" s="149"/>
    </row>
    <row r="1672" spans="1:12" s="17" customFormat="1" x14ac:dyDescent="0.25">
      <c r="A1672" s="229"/>
      <c r="B1672" s="55"/>
      <c r="C1672" s="55"/>
      <c r="D1672" s="55"/>
      <c r="G1672" s="202"/>
      <c r="H1672" s="144"/>
      <c r="J1672" s="145"/>
      <c r="K1672" s="148"/>
      <c r="L1672" s="149"/>
    </row>
    <row r="1673" spans="1:12" s="17" customFormat="1" x14ac:dyDescent="0.25">
      <c r="A1673" s="229"/>
      <c r="B1673" s="55"/>
      <c r="C1673" s="55"/>
      <c r="D1673" s="55"/>
      <c r="G1673" s="202"/>
      <c r="H1673" s="144"/>
      <c r="J1673" s="145"/>
      <c r="K1673" s="148"/>
      <c r="L1673" s="149"/>
    </row>
    <row r="1674" spans="1:12" s="17" customFormat="1" x14ac:dyDescent="0.25">
      <c r="A1674" s="229"/>
      <c r="B1674" s="55"/>
      <c r="C1674" s="55"/>
      <c r="D1674" s="55"/>
      <c r="G1674" s="202"/>
      <c r="H1674" s="144"/>
      <c r="J1674" s="145"/>
      <c r="K1674" s="148"/>
      <c r="L1674" s="149"/>
    </row>
    <row r="1675" spans="1:12" s="17" customFormat="1" x14ac:dyDescent="0.25">
      <c r="A1675" s="229"/>
      <c r="B1675" s="55"/>
      <c r="C1675" s="55"/>
      <c r="D1675" s="55"/>
      <c r="G1675" s="202"/>
      <c r="H1675" s="144"/>
      <c r="J1675" s="145"/>
      <c r="K1675" s="148"/>
      <c r="L1675" s="149"/>
    </row>
    <row r="1676" spans="1:12" s="17" customFormat="1" x14ac:dyDescent="0.25">
      <c r="A1676" s="229"/>
      <c r="B1676" s="55"/>
      <c r="C1676" s="55"/>
      <c r="D1676" s="55"/>
      <c r="G1676" s="202"/>
      <c r="H1676" s="144"/>
      <c r="J1676" s="145"/>
      <c r="K1676" s="148"/>
      <c r="L1676" s="149"/>
    </row>
    <row r="1677" spans="1:12" s="17" customFormat="1" x14ac:dyDescent="0.25">
      <c r="A1677" s="229"/>
      <c r="B1677" s="55"/>
      <c r="C1677" s="55"/>
      <c r="D1677" s="55"/>
      <c r="G1677" s="202"/>
      <c r="H1677" s="144"/>
      <c r="J1677" s="145"/>
      <c r="K1677" s="148"/>
      <c r="L1677" s="149"/>
    </row>
    <row r="1678" spans="1:12" s="17" customFormat="1" x14ac:dyDescent="0.25">
      <c r="A1678" s="229"/>
      <c r="B1678" s="55"/>
      <c r="C1678" s="55"/>
      <c r="D1678" s="55"/>
      <c r="G1678" s="202"/>
      <c r="H1678" s="144"/>
      <c r="J1678" s="145"/>
      <c r="K1678" s="148"/>
      <c r="L1678" s="149"/>
    </row>
    <row r="1679" spans="1:12" s="17" customFormat="1" x14ac:dyDescent="0.25">
      <c r="A1679" s="229"/>
      <c r="B1679" s="55"/>
      <c r="C1679" s="55"/>
      <c r="D1679" s="55"/>
      <c r="G1679" s="202"/>
      <c r="H1679" s="144"/>
      <c r="J1679" s="145"/>
      <c r="K1679" s="148"/>
      <c r="L1679" s="149"/>
    </row>
    <row r="1680" spans="1:12" s="17" customFormat="1" x14ac:dyDescent="0.25">
      <c r="A1680" s="229"/>
      <c r="B1680" s="55"/>
      <c r="C1680" s="55"/>
      <c r="D1680" s="55"/>
      <c r="G1680" s="202"/>
      <c r="H1680" s="144"/>
      <c r="J1680" s="145"/>
      <c r="K1680" s="148"/>
      <c r="L1680" s="149"/>
    </row>
    <row r="1681" spans="1:12" s="17" customFormat="1" x14ac:dyDescent="0.25">
      <c r="A1681" s="229"/>
      <c r="B1681" s="55"/>
      <c r="C1681" s="55"/>
      <c r="D1681" s="55"/>
      <c r="G1681" s="202"/>
      <c r="H1681" s="144"/>
      <c r="J1681" s="145"/>
      <c r="K1681" s="148"/>
      <c r="L1681" s="149"/>
    </row>
    <row r="1682" spans="1:12" s="17" customFormat="1" x14ac:dyDescent="0.25">
      <c r="A1682" s="229"/>
      <c r="B1682" s="55"/>
      <c r="C1682" s="55"/>
      <c r="D1682" s="55"/>
      <c r="G1682" s="202"/>
      <c r="H1682" s="144"/>
      <c r="J1682" s="145"/>
      <c r="K1682" s="148"/>
      <c r="L1682" s="149"/>
    </row>
    <row r="1683" spans="1:12" s="17" customFormat="1" x14ac:dyDescent="0.25">
      <c r="A1683" s="229"/>
      <c r="B1683" s="55"/>
      <c r="C1683" s="55"/>
      <c r="D1683" s="55"/>
      <c r="G1683" s="202"/>
      <c r="H1683" s="144"/>
      <c r="J1683" s="145"/>
      <c r="K1683" s="148"/>
      <c r="L1683" s="149"/>
    </row>
    <row r="1684" spans="1:12" s="17" customFormat="1" x14ac:dyDescent="0.25">
      <c r="A1684" s="229"/>
      <c r="B1684" s="55"/>
      <c r="C1684" s="55"/>
      <c r="D1684" s="55"/>
      <c r="G1684" s="202"/>
      <c r="H1684" s="144"/>
      <c r="J1684" s="145"/>
      <c r="K1684" s="148"/>
      <c r="L1684" s="149"/>
    </row>
    <row r="1685" spans="1:12" s="17" customFormat="1" x14ac:dyDescent="0.25">
      <c r="A1685" s="229"/>
      <c r="B1685" s="55"/>
      <c r="C1685" s="55"/>
      <c r="D1685" s="55"/>
      <c r="G1685" s="202"/>
      <c r="H1685" s="144"/>
      <c r="J1685" s="145"/>
      <c r="K1685" s="148"/>
      <c r="L1685" s="149"/>
    </row>
    <row r="1686" spans="1:12" s="17" customFormat="1" x14ac:dyDescent="0.25">
      <c r="A1686" s="229"/>
      <c r="B1686" s="55"/>
      <c r="C1686" s="55"/>
      <c r="D1686" s="55"/>
      <c r="G1686" s="202"/>
      <c r="H1686" s="144"/>
      <c r="J1686" s="145"/>
      <c r="K1686" s="148"/>
      <c r="L1686" s="149"/>
    </row>
    <row r="1687" spans="1:12" s="17" customFormat="1" x14ac:dyDescent="0.25">
      <c r="A1687" s="229"/>
      <c r="B1687" s="55"/>
      <c r="C1687" s="55"/>
      <c r="D1687" s="55"/>
      <c r="G1687" s="202"/>
      <c r="H1687" s="144"/>
      <c r="J1687" s="145"/>
      <c r="K1687" s="148"/>
      <c r="L1687" s="149"/>
    </row>
    <row r="1688" spans="1:12" s="17" customFormat="1" x14ac:dyDescent="0.25">
      <c r="A1688" s="229"/>
      <c r="B1688" s="55"/>
      <c r="C1688" s="55"/>
      <c r="D1688" s="55"/>
      <c r="G1688" s="202"/>
      <c r="H1688" s="144"/>
      <c r="J1688" s="145"/>
      <c r="K1688" s="148"/>
      <c r="L1688" s="149"/>
    </row>
    <row r="1689" spans="1:12" s="17" customFormat="1" x14ac:dyDescent="0.25">
      <c r="A1689" s="229"/>
      <c r="B1689" s="55"/>
      <c r="C1689" s="55"/>
      <c r="D1689" s="55"/>
      <c r="G1689" s="202"/>
      <c r="H1689" s="144"/>
      <c r="J1689" s="145"/>
      <c r="K1689" s="148"/>
      <c r="L1689" s="149"/>
    </row>
    <row r="1690" spans="1:12" s="17" customFormat="1" x14ac:dyDescent="0.25">
      <c r="A1690" s="229"/>
      <c r="B1690" s="55"/>
      <c r="C1690" s="55"/>
      <c r="D1690" s="55"/>
      <c r="G1690" s="202"/>
      <c r="H1690" s="144"/>
      <c r="J1690" s="145"/>
      <c r="K1690" s="148"/>
      <c r="L1690" s="149"/>
    </row>
    <row r="1691" spans="1:12" s="17" customFormat="1" x14ac:dyDescent="0.25">
      <c r="A1691" s="229"/>
      <c r="B1691" s="55"/>
      <c r="C1691" s="55"/>
      <c r="D1691" s="55"/>
      <c r="G1691" s="202"/>
      <c r="H1691" s="144"/>
      <c r="J1691" s="145"/>
      <c r="K1691" s="148"/>
      <c r="L1691" s="149"/>
    </row>
    <row r="1692" spans="1:12" s="17" customFormat="1" x14ac:dyDescent="0.25">
      <c r="A1692" s="229"/>
      <c r="B1692" s="55"/>
      <c r="C1692" s="55"/>
      <c r="D1692" s="55"/>
      <c r="G1692" s="202"/>
      <c r="H1692" s="144"/>
      <c r="J1692" s="145"/>
      <c r="K1692" s="148"/>
      <c r="L1692" s="149"/>
    </row>
    <row r="1693" spans="1:12" s="17" customFormat="1" x14ac:dyDescent="0.25">
      <c r="A1693" s="229"/>
      <c r="B1693" s="55"/>
      <c r="C1693" s="55"/>
      <c r="D1693" s="55"/>
      <c r="G1693" s="202"/>
      <c r="H1693" s="144"/>
      <c r="J1693" s="145"/>
      <c r="K1693" s="148"/>
      <c r="L1693" s="149"/>
    </row>
    <row r="1694" spans="1:12" s="17" customFormat="1" x14ac:dyDescent="0.25">
      <c r="A1694" s="229"/>
      <c r="B1694" s="55"/>
      <c r="C1694" s="55"/>
      <c r="D1694" s="55"/>
      <c r="G1694" s="202"/>
      <c r="H1694" s="144"/>
      <c r="J1694" s="145"/>
      <c r="K1694" s="148"/>
      <c r="L1694" s="149"/>
    </row>
    <row r="1695" spans="1:12" s="17" customFormat="1" x14ac:dyDescent="0.25">
      <c r="A1695" s="229"/>
      <c r="B1695" s="55"/>
      <c r="C1695" s="55"/>
      <c r="D1695" s="55"/>
      <c r="G1695" s="202"/>
      <c r="H1695" s="144"/>
      <c r="J1695" s="145"/>
      <c r="K1695" s="148"/>
      <c r="L1695" s="149"/>
    </row>
    <row r="1696" spans="1:12" s="17" customFormat="1" x14ac:dyDescent="0.25">
      <c r="A1696" s="229"/>
      <c r="B1696" s="55"/>
      <c r="C1696" s="55"/>
      <c r="D1696" s="55"/>
      <c r="G1696" s="202"/>
      <c r="H1696" s="144"/>
      <c r="J1696" s="145"/>
      <c r="K1696" s="148"/>
      <c r="L1696" s="149"/>
    </row>
    <row r="1697" spans="1:12" s="17" customFormat="1" x14ac:dyDescent="0.25">
      <c r="A1697" s="229"/>
      <c r="B1697" s="55"/>
      <c r="C1697" s="55"/>
      <c r="D1697" s="55"/>
      <c r="G1697" s="202"/>
      <c r="H1697" s="144"/>
      <c r="J1697" s="145"/>
      <c r="K1697" s="148"/>
      <c r="L1697" s="149"/>
    </row>
    <row r="1698" spans="1:12" s="17" customFormat="1" x14ac:dyDescent="0.25">
      <c r="A1698" s="229"/>
      <c r="B1698" s="55"/>
      <c r="C1698" s="55"/>
      <c r="D1698" s="55"/>
      <c r="G1698" s="202"/>
      <c r="H1698" s="144"/>
      <c r="J1698" s="145"/>
      <c r="K1698" s="148"/>
      <c r="L1698" s="149"/>
    </row>
    <row r="1699" spans="1:12" s="17" customFormat="1" x14ac:dyDescent="0.25">
      <c r="A1699" s="229"/>
      <c r="B1699" s="55"/>
      <c r="C1699" s="55"/>
      <c r="D1699" s="55"/>
      <c r="G1699" s="202"/>
      <c r="H1699" s="144"/>
      <c r="J1699" s="145"/>
      <c r="K1699" s="148"/>
      <c r="L1699" s="149"/>
    </row>
    <row r="1700" spans="1:12" s="17" customFormat="1" x14ac:dyDescent="0.25">
      <c r="A1700" s="229"/>
      <c r="B1700" s="55"/>
      <c r="C1700" s="55"/>
      <c r="D1700" s="55"/>
      <c r="G1700" s="202"/>
      <c r="H1700" s="144"/>
      <c r="J1700" s="145"/>
      <c r="K1700" s="148"/>
      <c r="L1700" s="149"/>
    </row>
    <row r="1701" spans="1:12" s="17" customFormat="1" x14ac:dyDescent="0.25">
      <c r="A1701" s="229"/>
      <c r="B1701" s="55"/>
      <c r="C1701" s="55"/>
      <c r="D1701" s="55"/>
      <c r="G1701" s="202"/>
      <c r="H1701" s="144"/>
      <c r="J1701" s="145"/>
      <c r="K1701" s="148"/>
      <c r="L1701" s="149"/>
    </row>
    <row r="1702" spans="1:12" s="17" customFormat="1" x14ac:dyDescent="0.25">
      <c r="A1702" s="229"/>
      <c r="B1702" s="55"/>
      <c r="C1702" s="55"/>
      <c r="D1702" s="55"/>
      <c r="G1702" s="202"/>
      <c r="H1702" s="144"/>
      <c r="J1702" s="145"/>
      <c r="K1702" s="148"/>
      <c r="L1702" s="149"/>
    </row>
    <row r="1703" spans="1:12" s="17" customFormat="1" x14ac:dyDescent="0.25">
      <c r="A1703" s="229"/>
      <c r="B1703" s="55"/>
      <c r="C1703" s="55"/>
      <c r="D1703" s="55"/>
      <c r="G1703" s="202"/>
      <c r="H1703" s="144"/>
      <c r="J1703" s="145"/>
      <c r="K1703" s="148"/>
      <c r="L1703" s="149"/>
    </row>
    <row r="1704" spans="1:12" s="17" customFormat="1" x14ac:dyDescent="0.25">
      <c r="A1704" s="229"/>
      <c r="B1704" s="55"/>
      <c r="C1704" s="55"/>
      <c r="D1704" s="55"/>
      <c r="G1704" s="202"/>
      <c r="H1704" s="144"/>
      <c r="J1704" s="145"/>
      <c r="K1704" s="148"/>
      <c r="L1704" s="149"/>
    </row>
    <row r="1705" spans="1:12" s="17" customFormat="1" x14ac:dyDescent="0.25">
      <c r="A1705" s="229"/>
      <c r="B1705" s="55"/>
      <c r="C1705" s="55"/>
      <c r="D1705" s="55"/>
      <c r="G1705" s="202"/>
      <c r="H1705" s="144"/>
      <c r="J1705" s="145"/>
      <c r="K1705" s="148"/>
      <c r="L1705" s="149"/>
    </row>
    <row r="1706" spans="1:12" s="17" customFormat="1" x14ac:dyDescent="0.25">
      <c r="A1706" s="229"/>
      <c r="B1706" s="55"/>
      <c r="C1706" s="55"/>
      <c r="D1706" s="55"/>
      <c r="G1706" s="202"/>
      <c r="H1706" s="144"/>
      <c r="J1706" s="145"/>
      <c r="K1706" s="148"/>
      <c r="L1706" s="149"/>
    </row>
    <row r="1707" spans="1:12" s="17" customFormat="1" x14ac:dyDescent="0.25">
      <c r="A1707" s="229"/>
      <c r="B1707" s="55"/>
      <c r="C1707" s="55"/>
      <c r="D1707" s="55"/>
      <c r="G1707" s="202"/>
      <c r="H1707" s="144"/>
      <c r="J1707" s="145"/>
      <c r="K1707" s="148"/>
      <c r="L1707" s="149"/>
    </row>
    <row r="1708" spans="1:12" s="17" customFormat="1" x14ac:dyDescent="0.25">
      <c r="A1708" s="229"/>
      <c r="B1708" s="55"/>
      <c r="C1708" s="55"/>
      <c r="D1708" s="55"/>
      <c r="G1708" s="202"/>
      <c r="H1708" s="144"/>
      <c r="J1708" s="145"/>
      <c r="K1708" s="148"/>
      <c r="L1708" s="149"/>
    </row>
    <row r="1709" spans="1:12" s="17" customFormat="1" x14ac:dyDescent="0.25">
      <c r="A1709" s="229"/>
      <c r="B1709" s="55"/>
      <c r="C1709" s="55"/>
      <c r="D1709" s="55"/>
      <c r="G1709" s="202"/>
      <c r="H1709" s="144"/>
      <c r="J1709" s="145"/>
      <c r="K1709" s="148"/>
      <c r="L1709" s="149"/>
    </row>
    <row r="1710" spans="1:12" s="17" customFormat="1" x14ac:dyDescent="0.25">
      <c r="A1710" s="229"/>
      <c r="B1710" s="55"/>
      <c r="C1710" s="55"/>
      <c r="D1710" s="55"/>
      <c r="G1710" s="202"/>
      <c r="H1710" s="144"/>
      <c r="J1710" s="145"/>
      <c r="K1710" s="148"/>
      <c r="L1710" s="149"/>
    </row>
    <row r="1711" spans="1:12" s="17" customFormat="1" x14ac:dyDescent="0.25">
      <c r="A1711" s="229"/>
      <c r="B1711" s="55"/>
      <c r="C1711" s="55"/>
      <c r="D1711" s="55"/>
      <c r="G1711" s="202"/>
      <c r="H1711" s="144"/>
      <c r="J1711" s="145"/>
      <c r="K1711" s="148"/>
      <c r="L1711" s="149"/>
    </row>
    <row r="1712" spans="1:12" s="17" customFormat="1" x14ac:dyDescent="0.25">
      <c r="A1712" s="229"/>
      <c r="B1712" s="55"/>
      <c r="C1712" s="55"/>
      <c r="D1712" s="55"/>
      <c r="G1712" s="202"/>
      <c r="H1712" s="144"/>
      <c r="J1712" s="145"/>
      <c r="K1712" s="148"/>
      <c r="L1712" s="149"/>
    </row>
    <row r="1713" spans="1:12" s="17" customFormat="1" x14ac:dyDescent="0.25">
      <c r="A1713" s="229"/>
      <c r="B1713" s="55"/>
      <c r="C1713" s="55"/>
      <c r="D1713" s="55"/>
      <c r="G1713" s="202"/>
      <c r="H1713" s="144"/>
      <c r="J1713" s="145"/>
      <c r="K1713" s="148"/>
      <c r="L1713" s="149"/>
    </row>
    <row r="1714" spans="1:12" s="17" customFormat="1" x14ac:dyDescent="0.25">
      <c r="A1714" s="229"/>
      <c r="B1714" s="55"/>
      <c r="C1714" s="55"/>
      <c r="D1714" s="55"/>
      <c r="G1714" s="202"/>
      <c r="H1714" s="144"/>
      <c r="J1714" s="145"/>
      <c r="K1714" s="148"/>
      <c r="L1714" s="149"/>
    </row>
    <row r="1715" spans="1:12" s="17" customFormat="1" x14ac:dyDescent="0.25">
      <c r="A1715" s="229"/>
      <c r="B1715" s="55"/>
      <c r="C1715" s="55"/>
      <c r="D1715" s="55"/>
      <c r="G1715" s="202"/>
      <c r="H1715" s="144"/>
      <c r="J1715" s="145"/>
      <c r="K1715" s="148"/>
      <c r="L1715" s="149"/>
    </row>
    <row r="1716" spans="1:12" s="17" customFormat="1" x14ac:dyDescent="0.25">
      <c r="A1716" s="229"/>
      <c r="B1716" s="55"/>
      <c r="C1716" s="55"/>
      <c r="D1716" s="55"/>
      <c r="G1716" s="202"/>
      <c r="H1716" s="144"/>
      <c r="J1716" s="145"/>
      <c r="K1716" s="148"/>
      <c r="L1716" s="149"/>
    </row>
    <row r="1717" spans="1:12" s="17" customFormat="1" x14ac:dyDescent="0.25">
      <c r="A1717" s="229"/>
      <c r="B1717" s="55"/>
      <c r="C1717" s="55"/>
      <c r="D1717" s="55"/>
      <c r="G1717" s="202"/>
      <c r="H1717" s="144"/>
      <c r="J1717" s="145"/>
      <c r="K1717" s="148"/>
      <c r="L1717" s="149"/>
    </row>
    <row r="1718" spans="1:12" s="17" customFormat="1" x14ac:dyDescent="0.25">
      <c r="A1718" s="229"/>
      <c r="B1718" s="55"/>
      <c r="C1718" s="55"/>
      <c r="D1718" s="55"/>
      <c r="G1718" s="202"/>
      <c r="H1718" s="144"/>
      <c r="J1718" s="145"/>
      <c r="K1718" s="148"/>
      <c r="L1718" s="149"/>
    </row>
    <row r="1719" spans="1:12" s="17" customFormat="1" x14ac:dyDescent="0.25">
      <c r="A1719" s="229"/>
      <c r="B1719" s="55"/>
      <c r="C1719" s="55"/>
      <c r="D1719" s="55"/>
      <c r="G1719" s="202"/>
      <c r="H1719" s="144"/>
      <c r="J1719" s="145"/>
      <c r="K1719" s="148"/>
      <c r="L1719" s="149"/>
    </row>
    <row r="1720" spans="1:12" s="17" customFormat="1" x14ac:dyDescent="0.25">
      <c r="A1720" s="229"/>
      <c r="B1720" s="55"/>
      <c r="C1720" s="55"/>
      <c r="D1720" s="55"/>
      <c r="G1720" s="202"/>
      <c r="H1720" s="144"/>
      <c r="J1720" s="145"/>
      <c r="K1720" s="148"/>
      <c r="L1720" s="149"/>
    </row>
    <row r="1721" spans="1:12" s="17" customFormat="1" x14ac:dyDescent="0.25">
      <c r="A1721" s="229"/>
      <c r="B1721" s="55"/>
      <c r="C1721" s="55"/>
      <c r="D1721" s="55"/>
      <c r="G1721" s="202"/>
      <c r="H1721" s="144"/>
      <c r="J1721" s="145"/>
      <c r="K1721" s="148"/>
      <c r="L1721" s="149"/>
    </row>
    <row r="1722" spans="1:12" s="17" customFormat="1" x14ac:dyDescent="0.25">
      <c r="A1722" s="229"/>
      <c r="B1722" s="55"/>
      <c r="C1722" s="55"/>
      <c r="D1722" s="55"/>
      <c r="G1722" s="202"/>
      <c r="H1722" s="144"/>
      <c r="J1722" s="145"/>
      <c r="K1722" s="148"/>
      <c r="L1722" s="149"/>
    </row>
    <row r="1723" spans="1:12" s="17" customFormat="1" x14ac:dyDescent="0.25">
      <c r="A1723" s="229"/>
      <c r="B1723" s="55"/>
      <c r="C1723" s="55"/>
      <c r="D1723" s="55"/>
      <c r="G1723" s="202"/>
      <c r="H1723" s="144"/>
      <c r="J1723" s="145"/>
      <c r="K1723" s="148"/>
      <c r="L1723" s="149"/>
    </row>
    <row r="1724" spans="1:12" s="17" customFormat="1" x14ac:dyDescent="0.25">
      <c r="A1724" s="229"/>
      <c r="B1724" s="55"/>
      <c r="C1724" s="55"/>
      <c r="D1724" s="55"/>
      <c r="G1724" s="202"/>
      <c r="H1724" s="144"/>
      <c r="J1724" s="145"/>
      <c r="K1724" s="148"/>
      <c r="L1724" s="149"/>
    </row>
    <row r="1725" spans="1:12" s="17" customFormat="1" x14ac:dyDescent="0.25">
      <c r="A1725" s="229"/>
      <c r="B1725" s="55"/>
      <c r="C1725" s="55"/>
      <c r="D1725" s="55"/>
      <c r="G1725" s="202"/>
      <c r="H1725" s="144"/>
      <c r="J1725" s="145"/>
      <c r="K1725" s="148"/>
      <c r="L1725" s="149"/>
    </row>
    <row r="1726" spans="1:12" s="17" customFormat="1" x14ac:dyDescent="0.25">
      <c r="A1726" s="229"/>
      <c r="B1726" s="55"/>
      <c r="C1726" s="55"/>
      <c r="D1726" s="55"/>
      <c r="G1726" s="202"/>
      <c r="H1726" s="144"/>
      <c r="J1726" s="145"/>
      <c r="K1726" s="148"/>
      <c r="L1726" s="149"/>
    </row>
    <row r="1727" spans="1:12" s="17" customFormat="1" x14ac:dyDescent="0.25">
      <c r="A1727" s="229"/>
      <c r="B1727" s="55"/>
      <c r="C1727" s="55"/>
      <c r="D1727" s="55"/>
      <c r="G1727" s="202"/>
      <c r="H1727" s="144"/>
      <c r="J1727" s="145"/>
      <c r="K1727" s="148"/>
      <c r="L1727" s="149"/>
    </row>
    <row r="1728" spans="1:12" s="17" customFormat="1" x14ac:dyDescent="0.25">
      <c r="A1728" s="229"/>
      <c r="B1728" s="55"/>
      <c r="C1728" s="55"/>
      <c r="D1728" s="55"/>
      <c r="G1728" s="202"/>
      <c r="H1728" s="144"/>
      <c r="J1728" s="145"/>
      <c r="K1728" s="148"/>
      <c r="L1728" s="149"/>
    </row>
    <row r="1729" spans="1:12" s="17" customFormat="1" x14ac:dyDescent="0.25">
      <c r="A1729" s="229"/>
      <c r="B1729" s="55"/>
      <c r="C1729" s="55"/>
      <c r="D1729" s="55"/>
      <c r="G1729" s="202"/>
      <c r="H1729" s="144"/>
      <c r="J1729" s="145"/>
      <c r="K1729" s="148"/>
      <c r="L1729" s="149"/>
    </row>
    <row r="1730" spans="1:12" s="17" customFormat="1" x14ac:dyDescent="0.25">
      <c r="A1730" s="229"/>
      <c r="B1730" s="55"/>
      <c r="C1730" s="55"/>
      <c r="D1730" s="55"/>
      <c r="G1730" s="202"/>
      <c r="H1730" s="144"/>
      <c r="J1730" s="145"/>
      <c r="K1730" s="148"/>
      <c r="L1730" s="149"/>
    </row>
    <row r="1731" spans="1:12" s="17" customFormat="1" x14ac:dyDescent="0.25">
      <c r="A1731" s="229"/>
      <c r="B1731" s="55"/>
      <c r="C1731" s="55"/>
      <c r="D1731" s="55"/>
      <c r="G1731" s="202"/>
      <c r="H1731" s="144"/>
      <c r="J1731" s="145"/>
      <c r="K1731" s="148"/>
      <c r="L1731" s="149"/>
    </row>
    <row r="1732" spans="1:12" s="17" customFormat="1" x14ac:dyDescent="0.25">
      <c r="A1732" s="229"/>
      <c r="B1732" s="55"/>
      <c r="C1732" s="55"/>
      <c r="D1732" s="55"/>
      <c r="G1732" s="202"/>
      <c r="H1732" s="144"/>
      <c r="J1732" s="145"/>
      <c r="K1732" s="148"/>
      <c r="L1732" s="149"/>
    </row>
    <row r="1733" spans="1:12" s="17" customFormat="1" x14ac:dyDescent="0.25">
      <c r="A1733" s="229"/>
      <c r="B1733" s="55"/>
      <c r="C1733" s="55"/>
      <c r="D1733" s="55"/>
      <c r="G1733" s="202"/>
      <c r="H1733" s="144"/>
      <c r="J1733" s="145"/>
      <c r="K1733" s="148"/>
      <c r="L1733" s="149"/>
    </row>
    <row r="1734" spans="1:12" s="17" customFormat="1" x14ac:dyDescent="0.25">
      <c r="A1734" s="229"/>
      <c r="B1734" s="55"/>
      <c r="C1734" s="55"/>
      <c r="D1734" s="55"/>
      <c r="G1734" s="202"/>
      <c r="H1734" s="144"/>
      <c r="J1734" s="145"/>
      <c r="K1734" s="148"/>
      <c r="L1734" s="149"/>
    </row>
    <row r="1735" spans="1:12" s="17" customFormat="1" x14ac:dyDescent="0.25">
      <c r="A1735" s="229"/>
      <c r="B1735" s="55"/>
      <c r="C1735" s="55"/>
      <c r="D1735" s="55"/>
      <c r="G1735" s="202"/>
      <c r="H1735" s="144"/>
      <c r="J1735" s="145"/>
      <c r="K1735" s="148"/>
      <c r="L1735" s="149"/>
    </row>
    <row r="1736" spans="1:12" s="17" customFormat="1" x14ac:dyDescent="0.25">
      <c r="A1736" s="229"/>
      <c r="B1736" s="55"/>
      <c r="C1736" s="55"/>
      <c r="D1736" s="55"/>
      <c r="G1736" s="202"/>
      <c r="H1736" s="144"/>
      <c r="J1736" s="145"/>
      <c r="K1736" s="148"/>
      <c r="L1736" s="149"/>
    </row>
    <row r="1737" spans="1:12" s="17" customFormat="1" x14ac:dyDescent="0.25">
      <c r="A1737" s="229"/>
      <c r="B1737" s="55"/>
      <c r="C1737" s="55"/>
      <c r="D1737" s="55"/>
      <c r="G1737" s="202"/>
      <c r="H1737" s="144"/>
      <c r="J1737" s="145"/>
      <c r="K1737" s="148"/>
      <c r="L1737" s="149"/>
    </row>
    <row r="1738" spans="1:12" s="17" customFormat="1" x14ac:dyDescent="0.25">
      <c r="A1738" s="229"/>
      <c r="B1738" s="55"/>
      <c r="C1738" s="55"/>
      <c r="D1738" s="55"/>
      <c r="G1738" s="202"/>
      <c r="H1738" s="144"/>
      <c r="J1738" s="145"/>
      <c r="K1738" s="148"/>
      <c r="L1738" s="149"/>
    </row>
    <row r="1739" spans="1:12" s="17" customFormat="1" x14ac:dyDescent="0.25">
      <c r="A1739" s="229"/>
      <c r="B1739" s="55"/>
      <c r="C1739" s="55"/>
      <c r="D1739" s="55"/>
      <c r="G1739" s="202"/>
      <c r="H1739" s="144"/>
      <c r="J1739" s="145"/>
      <c r="K1739" s="148"/>
      <c r="L1739" s="149"/>
    </row>
    <row r="1740" spans="1:12" s="17" customFormat="1" x14ac:dyDescent="0.25">
      <c r="A1740" s="229"/>
      <c r="B1740" s="55"/>
      <c r="C1740" s="55"/>
      <c r="D1740" s="55"/>
      <c r="G1740" s="202"/>
      <c r="H1740" s="144"/>
      <c r="J1740" s="145"/>
      <c r="K1740" s="148"/>
      <c r="L1740" s="149"/>
    </row>
    <row r="1741" spans="1:12" s="17" customFormat="1" x14ac:dyDescent="0.25">
      <c r="A1741" s="229"/>
      <c r="B1741" s="55"/>
      <c r="C1741" s="55"/>
      <c r="D1741" s="55"/>
      <c r="G1741" s="202"/>
      <c r="H1741" s="144"/>
      <c r="J1741" s="145"/>
      <c r="K1741" s="148"/>
      <c r="L1741" s="149"/>
    </row>
    <row r="1742" spans="1:12" s="17" customFormat="1" x14ac:dyDescent="0.25">
      <c r="A1742" s="229"/>
      <c r="B1742" s="55"/>
      <c r="C1742" s="55"/>
      <c r="D1742" s="55"/>
      <c r="G1742" s="202"/>
      <c r="H1742" s="144"/>
      <c r="J1742" s="145"/>
      <c r="K1742" s="148"/>
      <c r="L1742" s="149"/>
    </row>
    <row r="1743" spans="1:12" s="17" customFormat="1" x14ac:dyDescent="0.25">
      <c r="A1743" s="229"/>
      <c r="B1743" s="55"/>
      <c r="C1743" s="55"/>
      <c r="D1743" s="55"/>
      <c r="G1743" s="202"/>
      <c r="H1743" s="144"/>
      <c r="J1743" s="145"/>
      <c r="K1743" s="148"/>
      <c r="L1743" s="149"/>
    </row>
    <row r="1744" spans="1:12" s="17" customFormat="1" x14ac:dyDescent="0.25">
      <c r="A1744" s="229"/>
      <c r="B1744" s="55"/>
      <c r="C1744" s="55"/>
      <c r="D1744" s="55"/>
      <c r="G1744" s="202"/>
      <c r="H1744" s="144"/>
      <c r="J1744" s="145"/>
      <c r="K1744" s="148"/>
      <c r="L1744" s="149"/>
    </row>
    <row r="1745" spans="1:12" s="17" customFormat="1" x14ac:dyDescent="0.25">
      <c r="A1745" s="229"/>
      <c r="B1745" s="55"/>
      <c r="C1745" s="55"/>
      <c r="D1745" s="55"/>
      <c r="G1745" s="202"/>
      <c r="H1745" s="144"/>
      <c r="J1745" s="145"/>
      <c r="K1745" s="148"/>
      <c r="L1745" s="149"/>
    </row>
    <row r="1746" spans="1:12" s="17" customFormat="1" x14ac:dyDescent="0.25">
      <c r="A1746" s="229"/>
      <c r="B1746" s="55"/>
      <c r="C1746" s="55"/>
      <c r="D1746" s="55"/>
      <c r="G1746" s="202"/>
      <c r="H1746" s="144"/>
      <c r="J1746" s="145"/>
      <c r="K1746" s="148"/>
      <c r="L1746" s="149"/>
    </row>
    <row r="1747" spans="1:12" s="17" customFormat="1" x14ac:dyDescent="0.25">
      <c r="A1747" s="229"/>
      <c r="B1747" s="55"/>
      <c r="C1747" s="55"/>
      <c r="D1747" s="55"/>
      <c r="G1747" s="202"/>
      <c r="H1747" s="144"/>
      <c r="J1747" s="145"/>
      <c r="K1747" s="148"/>
      <c r="L1747" s="149"/>
    </row>
    <row r="1748" spans="1:12" s="17" customFormat="1" x14ac:dyDescent="0.25">
      <c r="A1748" s="229"/>
      <c r="B1748" s="55"/>
      <c r="C1748" s="55"/>
      <c r="D1748" s="55"/>
      <c r="G1748" s="202"/>
      <c r="H1748" s="144"/>
      <c r="J1748" s="145"/>
      <c r="K1748" s="148"/>
      <c r="L1748" s="149"/>
    </row>
    <row r="1749" spans="1:12" s="17" customFormat="1" x14ac:dyDescent="0.25">
      <c r="A1749" s="229"/>
      <c r="B1749" s="55"/>
      <c r="C1749" s="55"/>
      <c r="D1749" s="55"/>
      <c r="G1749" s="202"/>
      <c r="H1749" s="144"/>
      <c r="J1749" s="145"/>
      <c r="K1749" s="148"/>
      <c r="L1749" s="149"/>
    </row>
    <row r="1750" spans="1:12" s="17" customFormat="1" x14ac:dyDescent="0.25">
      <c r="A1750" s="229"/>
      <c r="B1750" s="55"/>
      <c r="C1750" s="55"/>
      <c r="D1750" s="55"/>
      <c r="G1750" s="202"/>
      <c r="H1750" s="144"/>
      <c r="J1750" s="145"/>
      <c r="K1750" s="148"/>
      <c r="L1750" s="149"/>
    </row>
    <row r="1751" spans="1:12" s="17" customFormat="1" x14ac:dyDescent="0.25">
      <c r="A1751" s="229"/>
      <c r="B1751" s="55"/>
      <c r="C1751" s="55"/>
      <c r="D1751" s="55"/>
      <c r="G1751" s="202"/>
      <c r="H1751" s="144"/>
      <c r="J1751" s="145"/>
      <c r="K1751" s="148"/>
      <c r="L1751" s="149"/>
    </row>
    <row r="1752" spans="1:12" s="17" customFormat="1" x14ac:dyDescent="0.25">
      <c r="A1752" s="229"/>
      <c r="B1752" s="55"/>
      <c r="C1752" s="55"/>
      <c r="D1752" s="55"/>
      <c r="G1752" s="202"/>
      <c r="H1752" s="144"/>
      <c r="J1752" s="145"/>
      <c r="K1752" s="148"/>
      <c r="L1752" s="149"/>
    </row>
    <row r="1753" spans="1:12" s="17" customFormat="1" x14ac:dyDescent="0.25">
      <c r="A1753" s="229"/>
      <c r="B1753" s="55"/>
      <c r="C1753" s="55"/>
      <c r="D1753" s="55"/>
      <c r="G1753" s="202"/>
      <c r="H1753" s="144"/>
      <c r="J1753" s="145"/>
      <c r="K1753" s="148"/>
      <c r="L1753" s="149"/>
    </row>
    <row r="1754" spans="1:12" s="17" customFormat="1" x14ac:dyDescent="0.25">
      <c r="A1754" s="229"/>
      <c r="B1754" s="55"/>
      <c r="C1754" s="55"/>
      <c r="D1754" s="55"/>
      <c r="G1754" s="202"/>
      <c r="H1754" s="144"/>
      <c r="J1754" s="145"/>
      <c r="K1754" s="148"/>
      <c r="L1754" s="149"/>
    </row>
    <row r="1755" spans="1:12" s="17" customFormat="1" x14ac:dyDescent="0.25">
      <c r="A1755" s="229"/>
      <c r="B1755" s="55"/>
      <c r="C1755" s="55"/>
      <c r="D1755" s="55"/>
      <c r="G1755" s="202"/>
      <c r="H1755" s="144"/>
      <c r="J1755" s="145"/>
      <c r="K1755" s="148"/>
      <c r="L1755" s="149"/>
    </row>
    <row r="1756" spans="1:12" s="17" customFormat="1" x14ac:dyDescent="0.25">
      <c r="A1756" s="229"/>
      <c r="B1756" s="55"/>
      <c r="C1756" s="55"/>
      <c r="D1756" s="55"/>
      <c r="G1756" s="202"/>
      <c r="H1756" s="144"/>
      <c r="J1756" s="145"/>
      <c r="K1756" s="148"/>
      <c r="L1756" s="149"/>
    </row>
    <row r="1757" spans="1:12" s="17" customFormat="1" x14ac:dyDescent="0.25">
      <c r="A1757" s="229"/>
      <c r="B1757" s="55"/>
      <c r="C1757" s="55"/>
      <c r="D1757" s="55"/>
      <c r="G1757" s="202"/>
      <c r="H1757" s="144"/>
      <c r="J1757" s="145"/>
      <c r="K1757" s="148"/>
      <c r="L1757" s="149"/>
    </row>
    <row r="1758" spans="1:12" s="17" customFormat="1" x14ac:dyDescent="0.25">
      <c r="A1758" s="229"/>
      <c r="B1758" s="55"/>
      <c r="C1758" s="55"/>
      <c r="D1758" s="55"/>
      <c r="G1758" s="202"/>
      <c r="H1758" s="144"/>
      <c r="J1758" s="145"/>
      <c r="K1758" s="148"/>
      <c r="L1758" s="149"/>
    </row>
    <row r="1759" spans="1:12" s="17" customFormat="1" x14ac:dyDescent="0.25">
      <c r="A1759" s="229"/>
      <c r="B1759" s="55"/>
      <c r="C1759" s="55"/>
      <c r="D1759" s="55"/>
      <c r="G1759" s="202"/>
      <c r="H1759" s="144"/>
      <c r="J1759" s="145"/>
      <c r="K1759" s="148"/>
      <c r="L1759" s="149"/>
    </row>
    <row r="1760" spans="1:12" s="17" customFormat="1" x14ac:dyDescent="0.25">
      <c r="A1760" s="229"/>
      <c r="B1760" s="55"/>
      <c r="C1760" s="55"/>
      <c r="D1760" s="55"/>
      <c r="G1760" s="202"/>
      <c r="H1760" s="144"/>
      <c r="J1760" s="145"/>
      <c r="K1760" s="148"/>
      <c r="L1760" s="149"/>
    </row>
    <row r="1761" spans="1:12" s="17" customFormat="1" x14ac:dyDescent="0.25">
      <c r="A1761" s="229"/>
      <c r="B1761" s="55"/>
      <c r="C1761" s="55"/>
      <c r="D1761" s="55"/>
      <c r="G1761" s="202"/>
      <c r="H1761" s="144"/>
      <c r="J1761" s="145"/>
      <c r="K1761" s="148"/>
      <c r="L1761" s="149"/>
    </row>
    <row r="1762" spans="1:12" s="17" customFormat="1" x14ac:dyDescent="0.25">
      <c r="A1762" s="229"/>
      <c r="B1762" s="55"/>
      <c r="C1762" s="55"/>
      <c r="D1762" s="55"/>
      <c r="G1762" s="202"/>
      <c r="H1762" s="144"/>
      <c r="J1762" s="145"/>
      <c r="K1762" s="148"/>
      <c r="L1762" s="149"/>
    </row>
    <row r="1763" spans="1:12" s="17" customFormat="1" x14ac:dyDescent="0.25">
      <c r="A1763" s="229"/>
      <c r="B1763" s="55"/>
      <c r="C1763" s="55"/>
      <c r="D1763" s="55"/>
      <c r="G1763" s="202"/>
      <c r="H1763" s="144"/>
      <c r="J1763" s="145"/>
      <c r="K1763" s="148"/>
      <c r="L1763" s="149"/>
    </row>
    <row r="1764" spans="1:12" s="17" customFormat="1" x14ac:dyDescent="0.25">
      <c r="A1764" s="229"/>
      <c r="B1764" s="55"/>
      <c r="C1764" s="55"/>
      <c r="D1764" s="55"/>
      <c r="G1764" s="202"/>
      <c r="H1764" s="144"/>
      <c r="J1764" s="145"/>
      <c r="K1764" s="148"/>
      <c r="L1764" s="149"/>
    </row>
    <row r="1765" spans="1:12" s="17" customFormat="1" x14ac:dyDescent="0.25">
      <c r="A1765" s="229"/>
      <c r="B1765" s="55"/>
      <c r="C1765" s="55"/>
      <c r="D1765" s="55"/>
      <c r="G1765" s="202"/>
      <c r="H1765" s="144"/>
      <c r="J1765" s="145"/>
      <c r="K1765" s="148"/>
      <c r="L1765" s="149"/>
    </row>
    <row r="1766" spans="1:12" s="17" customFormat="1" x14ac:dyDescent="0.25">
      <c r="A1766" s="229"/>
      <c r="B1766" s="55"/>
      <c r="C1766" s="55"/>
      <c r="D1766" s="55"/>
      <c r="G1766" s="202"/>
      <c r="H1766" s="144"/>
      <c r="J1766" s="145"/>
      <c r="K1766" s="148"/>
      <c r="L1766" s="149"/>
    </row>
    <row r="1767" spans="1:12" s="17" customFormat="1" x14ac:dyDescent="0.25">
      <c r="A1767" s="229"/>
      <c r="B1767" s="55"/>
      <c r="C1767" s="55"/>
      <c r="D1767" s="55"/>
      <c r="G1767" s="202"/>
      <c r="H1767" s="144"/>
      <c r="J1767" s="145"/>
      <c r="K1767" s="148"/>
      <c r="L1767" s="149"/>
    </row>
    <row r="1768" spans="1:12" s="17" customFormat="1" x14ac:dyDescent="0.25">
      <c r="A1768" s="229"/>
      <c r="B1768" s="55"/>
      <c r="C1768" s="55"/>
      <c r="D1768" s="55"/>
      <c r="G1768" s="202"/>
      <c r="H1768" s="144"/>
      <c r="J1768" s="145"/>
      <c r="K1768" s="148"/>
      <c r="L1768" s="149"/>
    </row>
    <row r="1769" spans="1:12" s="17" customFormat="1" x14ac:dyDescent="0.25">
      <c r="A1769" s="229"/>
      <c r="B1769" s="55"/>
      <c r="C1769" s="55"/>
      <c r="D1769" s="55"/>
      <c r="G1769" s="202"/>
      <c r="H1769" s="144"/>
      <c r="J1769" s="145"/>
      <c r="K1769" s="148"/>
      <c r="L1769" s="149"/>
    </row>
    <row r="1770" spans="1:12" s="17" customFormat="1" x14ac:dyDescent="0.25">
      <c r="A1770" s="229"/>
      <c r="B1770" s="55"/>
      <c r="C1770" s="55"/>
      <c r="D1770" s="55"/>
      <c r="G1770" s="202"/>
      <c r="H1770" s="144"/>
      <c r="J1770" s="145"/>
      <c r="K1770" s="148"/>
      <c r="L1770" s="149"/>
    </row>
    <row r="1771" spans="1:12" s="17" customFormat="1" x14ac:dyDescent="0.25">
      <c r="A1771" s="229"/>
      <c r="B1771" s="55"/>
      <c r="C1771" s="55"/>
      <c r="D1771" s="55"/>
      <c r="G1771" s="202"/>
      <c r="H1771" s="144"/>
      <c r="J1771" s="145"/>
      <c r="K1771" s="148"/>
      <c r="L1771" s="149"/>
    </row>
    <row r="1772" spans="1:12" s="17" customFormat="1" x14ac:dyDescent="0.25">
      <c r="A1772" s="229"/>
      <c r="B1772" s="55"/>
      <c r="C1772" s="55"/>
      <c r="D1772" s="55"/>
      <c r="G1772" s="202"/>
      <c r="H1772" s="144"/>
      <c r="J1772" s="145"/>
      <c r="K1772" s="148"/>
      <c r="L1772" s="149"/>
    </row>
    <row r="1773" spans="1:12" s="17" customFormat="1" x14ac:dyDescent="0.25">
      <c r="A1773" s="229"/>
      <c r="B1773" s="55"/>
      <c r="C1773" s="55"/>
      <c r="D1773" s="55"/>
      <c r="G1773" s="202"/>
      <c r="H1773" s="144"/>
      <c r="J1773" s="145"/>
      <c r="K1773" s="148"/>
      <c r="L1773" s="149"/>
    </row>
    <row r="1774" spans="1:12" s="17" customFormat="1" x14ac:dyDescent="0.25">
      <c r="A1774" s="229"/>
      <c r="B1774" s="55"/>
      <c r="C1774" s="55"/>
      <c r="D1774" s="55"/>
      <c r="G1774" s="202"/>
      <c r="H1774" s="144"/>
      <c r="J1774" s="145"/>
      <c r="K1774" s="148"/>
      <c r="L1774" s="149"/>
    </row>
    <row r="1775" spans="1:12" s="17" customFormat="1" x14ac:dyDescent="0.25">
      <c r="A1775" s="229"/>
      <c r="B1775" s="55"/>
      <c r="C1775" s="55"/>
      <c r="D1775" s="55"/>
      <c r="G1775" s="202"/>
      <c r="H1775" s="144"/>
      <c r="J1775" s="145"/>
      <c r="K1775" s="148"/>
      <c r="L1775" s="149"/>
    </row>
    <row r="1776" spans="1:12" s="17" customFormat="1" x14ac:dyDescent="0.25">
      <c r="A1776" s="229"/>
      <c r="B1776" s="55"/>
      <c r="C1776" s="55"/>
      <c r="D1776" s="55"/>
      <c r="G1776" s="202"/>
      <c r="H1776" s="144"/>
      <c r="J1776" s="145"/>
      <c r="K1776" s="148"/>
      <c r="L1776" s="149"/>
    </row>
    <row r="1777" spans="1:12" s="17" customFormat="1" x14ac:dyDescent="0.25">
      <c r="A1777" s="229"/>
      <c r="B1777" s="55"/>
      <c r="C1777" s="55"/>
      <c r="D1777" s="55"/>
      <c r="G1777" s="202"/>
      <c r="H1777" s="144"/>
      <c r="J1777" s="145"/>
      <c r="K1777" s="148"/>
      <c r="L1777" s="149"/>
    </row>
    <row r="1778" spans="1:12" s="17" customFormat="1" x14ac:dyDescent="0.25">
      <c r="A1778" s="229"/>
      <c r="B1778" s="55"/>
      <c r="C1778" s="55"/>
      <c r="D1778" s="55"/>
      <c r="G1778" s="202"/>
      <c r="H1778" s="144"/>
      <c r="J1778" s="145"/>
      <c r="K1778" s="148"/>
      <c r="L1778" s="149"/>
    </row>
    <row r="1779" spans="1:12" s="17" customFormat="1" x14ac:dyDescent="0.25">
      <c r="A1779" s="229"/>
      <c r="B1779" s="55"/>
      <c r="C1779" s="55"/>
      <c r="D1779" s="55"/>
      <c r="G1779" s="202"/>
      <c r="H1779" s="144"/>
      <c r="J1779" s="145"/>
      <c r="K1779" s="148"/>
      <c r="L1779" s="149"/>
    </row>
    <row r="1780" spans="1:12" s="17" customFormat="1" x14ac:dyDescent="0.25">
      <c r="A1780" s="229"/>
      <c r="B1780" s="55"/>
      <c r="C1780" s="55"/>
      <c r="D1780" s="55"/>
      <c r="G1780" s="202"/>
      <c r="H1780" s="144"/>
      <c r="J1780" s="145"/>
      <c r="K1780" s="148"/>
      <c r="L1780" s="149"/>
    </row>
    <row r="1781" spans="1:12" s="17" customFormat="1" x14ac:dyDescent="0.25">
      <c r="A1781" s="229"/>
      <c r="B1781" s="55"/>
      <c r="C1781" s="55"/>
      <c r="D1781" s="55"/>
      <c r="G1781" s="202"/>
      <c r="H1781" s="144"/>
      <c r="J1781" s="145"/>
      <c r="K1781" s="148"/>
      <c r="L1781" s="149"/>
    </row>
    <row r="1782" spans="1:12" s="17" customFormat="1" x14ac:dyDescent="0.25">
      <c r="A1782" s="229"/>
      <c r="B1782" s="55"/>
      <c r="C1782" s="55"/>
      <c r="D1782" s="55"/>
      <c r="G1782" s="202"/>
      <c r="H1782" s="144"/>
      <c r="J1782" s="145"/>
      <c r="K1782" s="148"/>
      <c r="L1782" s="149"/>
    </row>
    <row r="1783" spans="1:12" s="17" customFormat="1" x14ac:dyDescent="0.25">
      <c r="A1783" s="229"/>
      <c r="B1783" s="55"/>
      <c r="C1783" s="55"/>
      <c r="D1783" s="55"/>
      <c r="G1783" s="202"/>
      <c r="H1783" s="144"/>
      <c r="J1783" s="145"/>
      <c r="K1783" s="148"/>
      <c r="L1783" s="149"/>
    </row>
    <row r="1784" spans="1:12" s="17" customFormat="1" x14ac:dyDescent="0.25">
      <c r="A1784" s="229"/>
      <c r="B1784" s="55"/>
      <c r="C1784" s="55"/>
      <c r="D1784" s="55"/>
      <c r="G1784" s="202"/>
      <c r="H1784" s="144"/>
      <c r="J1784" s="145"/>
      <c r="K1784" s="148"/>
      <c r="L1784" s="149"/>
    </row>
    <row r="1785" spans="1:12" s="17" customFormat="1" x14ac:dyDescent="0.25">
      <c r="A1785" s="229"/>
      <c r="B1785" s="55"/>
      <c r="C1785" s="55"/>
      <c r="D1785" s="55"/>
      <c r="G1785" s="202"/>
      <c r="H1785" s="144"/>
      <c r="J1785" s="145"/>
      <c r="K1785" s="148"/>
      <c r="L1785" s="149"/>
    </row>
    <row r="1786" spans="1:12" s="17" customFormat="1" x14ac:dyDescent="0.25">
      <c r="A1786" s="229"/>
      <c r="B1786" s="55"/>
      <c r="C1786" s="55"/>
      <c r="D1786" s="55"/>
      <c r="G1786" s="202"/>
      <c r="H1786" s="144"/>
      <c r="J1786" s="145"/>
      <c r="K1786" s="148"/>
      <c r="L1786" s="149"/>
    </row>
    <row r="1787" spans="1:12" s="17" customFormat="1" x14ac:dyDescent="0.25">
      <c r="A1787" s="229"/>
      <c r="B1787" s="55"/>
      <c r="C1787" s="55"/>
      <c r="D1787" s="55"/>
      <c r="G1787" s="202"/>
      <c r="H1787" s="144"/>
      <c r="J1787" s="145"/>
      <c r="K1787" s="148"/>
      <c r="L1787" s="149"/>
    </row>
    <row r="1788" spans="1:12" s="17" customFormat="1" x14ac:dyDescent="0.25">
      <c r="A1788" s="229"/>
      <c r="B1788" s="55"/>
      <c r="C1788" s="55"/>
      <c r="D1788" s="55"/>
      <c r="G1788" s="202"/>
      <c r="H1788" s="144"/>
      <c r="J1788" s="145"/>
      <c r="K1788" s="148"/>
      <c r="L1788" s="149"/>
    </row>
    <row r="1789" spans="1:12" s="17" customFormat="1" x14ac:dyDescent="0.25">
      <c r="A1789" s="229"/>
      <c r="B1789" s="55"/>
      <c r="C1789" s="55"/>
      <c r="D1789" s="55"/>
      <c r="G1789" s="202"/>
      <c r="H1789" s="144"/>
      <c r="J1789" s="145"/>
      <c r="K1789" s="148"/>
      <c r="L1789" s="149"/>
    </row>
    <row r="1790" spans="1:12" s="17" customFormat="1" x14ac:dyDescent="0.25">
      <c r="A1790" s="229"/>
      <c r="B1790" s="55"/>
      <c r="C1790" s="55"/>
      <c r="D1790" s="55"/>
      <c r="G1790" s="202"/>
      <c r="H1790" s="144"/>
      <c r="J1790" s="145"/>
      <c r="K1790" s="148"/>
      <c r="L1790" s="149"/>
    </row>
    <row r="1791" spans="1:12" s="17" customFormat="1" x14ac:dyDescent="0.25">
      <c r="A1791" s="229"/>
      <c r="B1791" s="55"/>
      <c r="C1791" s="55"/>
      <c r="D1791" s="55"/>
      <c r="G1791" s="202"/>
      <c r="H1791" s="144"/>
      <c r="J1791" s="145"/>
      <c r="K1791" s="148"/>
      <c r="L1791" s="149"/>
    </row>
    <row r="1792" spans="1:12" s="17" customFormat="1" x14ac:dyDescent="0.25">
      <c r="A1792" s="229"/>
      <c r="B1792" s="55"/>
      <c r="C1792" s="55"/>
      <c r="D1792" s="55"/>
      <c r="G1792" s="202"/>
      <c r="H1792" s="144"/>
      <c r="J1792" s="145"/>
      <c r="K1792" s="148"/>
      <c r="L1792" s="149"/>
    </row>
    <row r="1793" spans="1:12" s="17" customFormat="1" x14ac:dyDescent="0.25">
      <c r="A1793" s="229"/>
      <c r="B1793" s="55"/>
      <c r="C1793" s="55"/>
      <c r="D1793" s="55"/>
      <c r="G1793" s="202"/>
      <c r="H1793" s="144"/>
      <c r="J1793" s="145"/>
      <c r="K1793" s="148"/>
      <c r="L1793" s="149"/>
    </row>
    <row r="1794" spans="1:12" s="17" customFormat="1" x14ac:dyDescent="0.25">
      <c r="A1794" s="229"/>
      <c r="B1794" s="55"/>
      <c r="C1794" s="55"/>
      <c r="D1794" s="55"/>
      <c r="G1794" s="202"/>
      <c r="H1794" s="144"/>
      <c r="J1794" s="145"/>
      <c r="K1794" s="148"/>
      <c r="L1794" s="149"/>
    </row>
    <row r="1795" spans="1:12" s="17" customFormat="1" x14ac:dyDescent="0.25">
      <c r="A1795" s="229"/>
      <c r="B1795" s="55"/>
      <c r="C1795" s="55"/>
      <c r="D1795" s="55"/>
      <c r="G1795" s="202"/>
      <c r="H1795" s="144"/>
      <c r="J1795" s="145"/>
      <c r="K1795" s="148"/>
      <c r="L1795" s="149"/>
    </row>
    <row r="1796" spans="1:12" s="17" customFormat="1" x14ac:dyDescent="0.25">
      <c r="A1796" s="229"/>
      <c r="B1796" s="55"/>
      <c r="C1796" s="55"/>
      <c r="D1796" s="55"/>
      <c r="G1796" s="202"/>
      <c r="H1796" s="144"/>
      <c r="J1796" s="145"/>
      <c r="K1796" s="148"/>
      <c r="L1796" s="149"/>
    </row>
    <row r="1797" spans="1:12" s="17" customFormat="1" x14ac:dyDescent="0.25">
      <c r="A1797" s="229"/>
      <c r="B1797" s="55"/>
      <c r="C1797" s="55"/>
      <c r="D1797" s="55"/>
      <c r="G1797" s="202"/>
      <c r="H1797" s="144"/>
      <c r="J1797" s="145"/>
      <c r="K1797" s="148"/>
      <c r="L1797" s="149"/>
    </row>
    <row r="1798" spans="1:12" s="17" customFormat="1" x14ac:dyDescent="0.25">
      <c r="A1798" s="229"/>
      <c r="B1798" s="55"/>
      <c r="C1798" s="55"/>
      <c r="D1798" s="55"/>
      <c r="G1798" s="202"/>
      <c r="H1798" s="144"/>
      <c r="J1798" s="145"/>
      <c r="K1798" s="148"/>
      <c r="L1798" s="149"/>
    </row>
    <row r="1799" spans="1:12" s="17" customFormat="1" x14ac:dyDescent="0.25">
      <c r="A1799" s="229"/>
      <c r="B1799" s="55"/>
      <c r="C1799" s="55"/>
      <c r="D1799" s="55"/>
      <c r="G1799" s="202"/>
      <c r="H1799" s="144"/>
      <c r="J1799" s="145"/>
      <c r="K1799" s="148"/>
      <c r="L1799" s="149"/>
    </row>
    <row r="1800" spans="1:12" s="17" customFormat="1" x14ac:dyDescent="0.25">
      <c r="A1800" s="229"/>
      <c r="B1800" s="55"/>
      <c r="C1800" s="55"/>
      <c r="D1800" s="55"/>
      <c r="G1800" s="202"/>
      <c r="H1800" s="144"/>
      <c r="J1800" s="145"/>
      <c r="K1800" s="148"/>
      <c r="L1800" s="149"/>
    </row>
    <row r="1801" spans="1:12" s="17" customFormat="1" x14ac:dyDescent="0.25">
      <c r="A1801" s="229"/>
      <c r="B1801" s="55"/>
      <c r="C1801" s="55"/>
      <c r="D1801" s="55"/>
      <c r="G1801" s="202"/>
      <c r="H1801" s="144"/>
      <c r="J1801" s="145"/>
      <c r="K1801" s="148"/>
      <c r="L1801" s="149"/>
    </row>
    <row r="1802" spans="1:12" s="17" customFormat="1" x14ac:dyDescent="0.25">
      <c r="A1802" s="229"/>
      <c r="B1802" s="55"/>
      <c r="C1802" s="55"/>
      <c r="D1802" s="55"/>
      <c r="G1802" s="202"/>
      <c r="H1802" s="144"/>
      <c r="J1802" s="145"/>
      <c r="K1802" s="148"/>
      <c r="L1802" s="149"/>
    </row>
    <row r="1803" spans="1:12" s="17" customFormat="1" x14ac:dyDescent="0.25">
      <c r="A1803" s="229"/>
      <c r="B1803" s="55"/>
      <c r="C1803" s="55"/>
      <c r="D1803" s="55"/>
      <c r="G1803" s="202"/>
      <c r="H1803" s="144"/>
      <c r="J1803" s="145"/>
      <c r="K1803" s="148"/>
      <c r="L1803" s="149"/>
    </row>
    <row r="1804" spans="1:12" s="17" customFormat="1" x14ac:dyDescent="0.25">
      <c r="A1804" s="229"/>
      <c r="B1804" s="55"/>
      <c r="C1804" s="55"/>
      <c r="D1804" s="55"/>
      <c r="G1804" s="202"/>
      <c r="H1804" s="144"/>
      <c r="J1804" s="145"/>
      <c r="K1804" s="148"/>
      <c r="L1804" s="149"/>
    </row>
    <row r="1805" spans="1:12" s="17" customFormat="1" x14ac:dyDescent="0.25">
      <c r="A1805" s="229"/>
      <c r="B1805" s="55"/>
      <c r="C1805" s="55"/>
      <c r="D1805" s="55"/>
      <c r="G1805" s="202"/>
      <c r="H1805" s="144"/>
      <c r="J1805" s="145"/>
      <c r="K1805" s="148"/>
      <c r="L1805" s="149"/>
    </row>
    <row r="1806" spans="1:12" s="17" customFormat="1" x14ac:dyDescent="0.25">
      <c r="A1806" s="229"/>
      <c r="B1806" s="55"/>
      <c r="C1806" s="55"/>
      <c r="D1806" s="55"/>
      <c r="G1806" s="202"/>
      <c r="H1806" s="144"/>
      <c r="J1806" s="145"/>
      <c r="K1806" s="148"/>
      <c r="L1806" s="149"/>
    </row>
    <row r="1807" spans="1:12" s="17" customFormat="1" x14ac:dyDescent="0.25">
      <c r="A1807" s="229"/>
      <c r="B1807" s="55"/>
      <c r="C1807" s="55"/>
      <c r="D1807" s="55"/>
      <c r="G1807" s="202"/>
      <c r="H1807" s="144"/>
      <c r="J1807" s="145"/>
      <c r="K1807" s="148"/>
      <c r="L1807" s="149"/>
    </row>
    <row r="1808" spans="1:12" s="17" customFormat="1" x14ac:dyDescent="0.25">
      <c r="A1808" s="229"/>
      <c r="B1808" s="55"/>
      <c r="C1808" s="55"/>
      <c r="D1808" s="55"/>
      <c r="G1808" s="202"/>
      <c r="H1808" s="144"/>
      <c r="J1808" s="145"/>
      <c r="K1808" s="148"/>
      <c r="L1808" s="149"/>
    </row>
    <row r="1809" spans="1:20" s="17" customFormat="1" x14ac:dyDescent="0.25">
      <c r="A1809" s="229"/>
      <c r="B1809" s="55"/>
      <c r="C1809" s="55"/>
      <c r="D1809" s="55"/>
      <c r="G1809" s="202"/>
      <c r="H1809" s="144"/>
      <c r="J1809" s="145"/>
      <c r="K1809" s="148"/>
      <c r="L1809" s="149"/>
    </row>
    <row r="1810" spans="1:20" s="17" customFormat="1" x14ac:dyDescent="0.25">
      <c r="A1810" s="229"/>
      <c r="B1810" s="55"/>
      <c r="C1810" s="55"/>
      <c r="D1810" s="55"/>
      <c r="G1810" s="202"/>
      <c r="H1810" s="144"/>
      <c r="J1810" s="145"/>
      <c r="K1810" s="148"/>
      <c r="L1810" s="149"/>
      <c r="R1810"/>
      <c r="S1810"/>
      <c r="T1810"/>
    </row>
    <row r="1811" spans="1:20" s="17" customFormat="1" x14ac:dyDescent="0.25">
      <c r="A1811" s="229"/>
      <c r="B1811" s="55"/>
      <c r="C1811" s="55"/>
      <c r="D1811" s="55"/>
      <c r="G1811" s="202"/>
      <c r="H1811" s="144"/>
      <c r="J1811" s="145"/>
      <c r="K1811" s="148"/>
      <c r="L1811" s="149"/>
      <c r="R1811"/>
      <c r="S1811"/>
      <c r="T1811"/>
    </row>
    <row r="1812" spans="1:20" s="17" customFormat="1" x14ac:dyDescent="0.25">
      <c r="A1812" s="229"/>
      <c r="B1812" s="55"/>
      <c r="C1812" s="55"/>
      <c r="D1812" s="55"/>
      <c r="G1812" s="202"/>
      <c r="H1812" s="144"/>
      <c r="J1812" s="145"/>
      <c r="K1812" s="148"/>
      <c r="L1812" s="149"/>
      <c r="R1812"/>
      <c r="S1812"/>
      <c r="T1812"/>
    </row>
    <row r="1813" spans="1:20" s="17" customFormat="1" x14ac:dyDescent="0.25">
      <c r="A1813" s="229"/>
      <c r="B1813" s="55"/>
      <c r="C1813" s="55"/>
      <c r="D1813" s="55"/>
      <c r="G1813" s="202"/>
      <c r="H1813" s="144"/>
      <c r="J1813" s="145"/>
      <c r="K1813" s="148"/>
      <c r="L1813" s="149"/>
      <c r="R1813"/>
      <c r="S1813"/>
      <c r="T1813"/>
    </row>
    <row r="1814" spans="1:20" s="17" customFormat="1" x14ac:dyDescent="0.25">
      <c r="A1814" s="229"/>
      <c r="B1814" s="55"/>
      <c r="C1814" s="55"/>
      <c r="D1814" s="55"/>
      <c r="G1814" s="202"/>
      <c r="H1814" s="144"/>
      <c r="J1814" s="145"/>
      <c r="K1814" s="148"/>
      <c r="L1814" s="149"/>
      <c r="R1814"/>
      <c r="S1814"/>
      <c r="T1814"/>
    </row>
    <row r="1815" spans="1:20" s="17" customFormat="1" x14ac:dyDescent="0.25">
      <c r="A1815" s="229"/>
      <c r="B1815" s="55"/>
      <c r="C1815" s="55"/>
      <c r="D1815" s="55"/>
      <c r="G1815" s="202"/>
      <c r="H1815" s="144"/>
      <c r="J1815" s="145"/>
      <c r="K1815" s="148"/>
      <c r="L1815" s="149"/>
      <c r="R1815"/>
      <c r="S1815"/>
      <c r="T1815"/>
    </row>
    <row r="1816" spans="1:20" s="17" customFormat="1" x14ac:dyDescent="0.25">
      <c r="A1816" s="229"/>
      <c r="B1816" s="55"/>
      <c r="C1816" s="55"/>
      <c r="D1816" s="55"/>
      <c r="G1816" s="202"/>
      <c r="H1816" s="144"/>
      <c r="J1816" s="145"/>
      <c r="K1816" s="148"/>
      <c r="L1816" s="149"/>
      <c r="R1816"/>
      <c r="S1816"/>
      <c r="T1816"/>
    </row>
    <row r="1817" spans="1:20" s="17" customFormat="1" x14ac:dyDescent="0.25">
      <c r="A1817" s="229"/>
      <c r="B1817" s="55"/>
      <c r="C1817" s="55"/>
      <c r="D1817" s="55"/>
      <c r="G1817" s="202"/>
      <c r="H1817" s="144"/>
      <c r="J1817" s="145"/>
      <c r="K1817" s="148"/>
      <c r="L1817" s="149"/>
      <c r="R1817"/>
      <c r="S1817"/>
      <c r="T1817"/>
    </row>
    <row r="1818" spans="1:20" s="17" customFormat="1" x14ac:dyDescent="0.25">
      <c r="A1818" s="229"/>
      <c r="B1818" s="55"/>
      <c r="C1818" s="55"/>
      <c r="D1818" s="55"/>
      <c r="G1818" s="202"/>
      <c r="H1818" s="144"/>
      <c r="J1818" s="145"/>
      <c r="K1818" s="148"/>
      <c r="L1818" s="149"/>
      <c r="R1818"/>
      <c r="S1818"/>
      <c r="T1818"/>
    </row>
    <row r="1819" spans="1:20" s="17" customFormat="1" x14ac:dyDescent="0.25">
      <c r="A1819" s="229"/>
      <c r="B1819" s="55"/>
      <c r="C1819" s="55"/>
      <c r="D1819" s="55"/>
      <c r="G1819" s="202"/>
      <c r="H1819" s="144"/>
      <c r="J1819" s="145"/>
      <c r="K1819" s="148"/>
      <c r="L1819" s="149"/>
      <c r="R1819"/>
      <c r="S1819"/>
      <c r="T1819"/>
    </row>
    <row r="1820" spans="1:20" s="17" customFormat="1" x14ac:dyDescent="0.25">
      <c r="A1820" s="229"/>
      <c r="B1820" s="55"/>
      <c r="C1820" s="55"/>
      <c r="D1820" s="55"/>
      <c r="G1820" s="202"/>
      <c r="H1820" s="144"/>
      <c r="J1820" s="145"/>
      <c r="K1820" s="148"/>
      <c r="L1820" s="149"/>
      <c r="R1820"/>
      <c r="S1820"/>
      <c r="T1820"/>
    </row>
    <row r="1821" spans="1:20" s="17" customFormat="1" x14ac:dyDescent="0.25">
      <c r="A1821" s="229"/>
      <c r="B1821" s="55"/>
      <c r="C1821" s="55"/>
      <c r="D1821" s="55"/>
      <c r="G1821" s="202"/>
      <c r="H1821" s="144"/>
      <c r="J1821" s="145"/>
      <c r="K1821" s="148"/>
      <c r="L1821" s="149"/>
      <c r="R1821"/>
      <c r="S1821"/>
      <c r="T1821"/>
    </row>
    <row r="1822" spans="1:20" s="17" customFormat="1" x14ac:dyDescent="0.25">
      <c r="A1822" s="229"/>
      <c r="B1822" s="55"/>
      <c r="C1822" s="55"/>
      <c r="D1822" s="55"/>
      <c r="G1822" s="202"/>
      <c r="H1822" s="144"/>
      <c r="J1822" s="145"/>
      <c r="K1822" s="148"/>
      <c r="L1822" s="149"/>
      <c r="R1822"/>
      <c r="S1822"/>
      <c r="T1822"/>
    </row>
    <row r="1823" spans="1:20" s="17" customFormat="1" x14ac:dyDescent="0.25">
      <c r="A1823" s="229"/>
      <c r="B1823" s="55"/>
      <c r="C1823" s="55"/>
      <c r="D1823" s="55"/>
      <c r="G1823" s="202"/>
      <c r="H1823" s="144"/>
      <c r="J1823" s="145"/>
      <c r="K1823" s="148"/>
      <c r="L1823" s="149"/>
      <c r="R1823"/>
      <c r="S1823"/>
      <c r="T1823"/>
    </row>
    <row r="1824" spans="1:20" s="17" customFormat="1" x14ac:dyDescent="0.25">
      <c r="A1824" s="229"/>
      <c r="B1824" s="55"/>
      <c r="C1824" s="55"/>
      <c r="D1824" s="55"/>
      <c r="G1824" s="202"/>
      <c r="H1824" s="144"/>
      <c r="J1824" s="145"/>
      <c r="K1824" s="148"/>
      <c r="L1824" s="149"/>
      <c r="R1824"/>
      <c r="S1824"/>
      <c r="T1824"/>
    </row>
    <row r="1825" spans="1:20" s="17" customFormat="1" x14ac:dyDescent="0.25">
      <c r="A1825" s="229"/>
      <c r="B1825" s="55"/>
      <c r="C1825" s="55"/>
      <c r="D1825" s="55"/>
      <c r="G1825" s="202"/>
      <c r="H1825" s="144"/>
      <c r="J1825" s="145"/>
      <c r="K1825" s="148"/>
      <c r="L1825" s="149"/>
      <c r="R1825"/>
      <c r="S1825"/>
      <c r="T1825"/>
    </row>
    <row r="1826" spans="1:20" s="17" customFormat="1" x14ac:dyDescent="0.25">
      <c r="A1826" s="229"/>
      <c r="B1826" s="55"/>
      <c r="C1826" s="55"/>
      <c r="D1826" s="55"/>
      <c r="G1826" s="202"/>
      <c r="H1826" s="144"/>
      <c r="J1826" s="145"/>
      <c r="K1826" s="148"/>
      <c r="L1826" s="149"/>
      <c r="R1826"/>
      <c r="S1826"/>
      <c r="T1826"/>
    </row>
    <row r="1827" spans="1:20" s="17" customFormat="1" x14ac:dyDescent="0.25">
      <c r="A1827" s="229"/>
      <c r="B1827" s="55"/>
      <c r="C1827" s="55"/>
      <c r="D1827" s="55"/>
      <c r="G1827" s="202"/>
      <c r="H1827" s="144"/>
      <c r="J1827" s="145"/>
      <c r="K1827" s="148"/>
      <c r="L1827" s="149"/>
      <c r="R1827"/>
      <c r="S1827"/>
      <c r="T1827"/>
    </row>
    <row r="1828" spans="1:20" s="17" customFormat="1" x14ac:dyDescent="0.25">
      <c r="A1828" s="229"/>
      <c r="B1828" s="55"/>
      <c r="C1828" s="55"/>
      <c r="D1828" s="55"/>
      <c r="G1828" s="202"/>
      <c r="H1828" s="144"/>
      <c r="J1828" s="145"/>
      <c r="K1828" s="148"/>
      <c r="L1828" s="149"/>
      <c r="R1828"/>
      <c r="S1828"/>
      <c r="T1828"/>
    </row>
    <row r="1829" spans="1:20" s="17" customFormat="1" x14ac:dyDescent="0.25">
      <c r="A1829" s="229"/>
      <c r="B1829" s="55"/>
      <c r="C1829" s="55"/>
      <c r="D1829" s="55"/>
      <c r="G1829" s="202"/>
      <c r="H1829" s="144"/>
      <c r="J1829" s="145"/>
      <c r="K1829" s="148"/>
      <c r="L1829" s="149"/>
      <c r="R1829"/>
      <c r="S1829"/>
      <c r="T1829"/>
    </row>
    <row r="1830" spans="1:20" s="17" customFormat="1" x14ac:dyDescent="0.25">
      <c r="A1830" s="229"/>
      <c r="B1830" s="55"/>
      <c r="C1830" s="55"/>
      <c r="D1830" s="55"/>
      <c r="G1830" s="202"/>
      <c r="H1830" s="144"/>
      <c r="J1830" s="145"/>
      <c r="K1830" s="148"/>
      <c r="L1830" s="149"/>
      <c r="R1830"/>
      <c r="S1830"/>
      <c r="T1830"/>
    </row>
    <row r="1831" spans="1:20" s="17" customFormat="1" x14ac:dyDescent="0.25">
      <c r="A1831" s="229"/>
      <c r="B1831" s="55"/>
      <c r="C1831" s="55"/>
      <c r="D1831" s="55"/>
      <c r="G1831" s="202"/>
      <c r="H1831" s="144"/>
      <c r="J1831" s="145"/>
      <c r="K1831" s="148"/>
      <c r="L1831" s="149"/>
      <c r="R1831"/>
      <c r="S1831"/>
      <c r="T1831"/>
    </row>
    <row r="1832" spans="1:20" s="17" customFormat="1" x14ac:dyDescent="0.25">
      <c r="A1832" s="229"/>
      <c r="B1832" s="55"/>
      <c r="C1832" s="55"/>
      <c r="D1832" s="55"/>
      <c r="G1832" s="202"/>
      <c r="H1832" s="144"/>
      <c r="J1832" s="145"/>
      <c r="K1832" s="148"/>
      <c r="L1832" s="149"/>
      <c r="R1832"/>
      <c r="S1832"/>
      <c r="T1832"/>
    </row>
    <row r="1833" spans="1:20" s="17" customFormat="1" x14ac:dyDescent="0.25">
      <c r="A1833" s="229"/>
      <c r="B1833" s="55"/>
      <c r="C1833" s="55"/>
      <c r="D1833" s="55"/>
      <c r="G1833" s="202"/>
      <c r="H1833" s="144"/>
      <c r="J1833" s="145"/>
      <c r="K1833" s="148"/>
      <c r="L1833" s="149"/>
      <c r="R1833"/>
      <c r="S1833"/>
      <c r="T1833"/>
    </row>
    <row r="1834" spans="1:20" s="17" customFormat="1" x14ac:dyDescent="0.25">
      <c r="A1834" s="229"/>
      <c r="B1834" s="55"/>
      <c r="C1834" s="55"/>
      <c r="D1834" s="55"/>
      <c r="G1834" s="202"/>
      <c r="H1834" s="144"/>
      <c r="J1834" s="145"/>
      <c r="K1834" s="148"/>
      <c r="L1834" s="149"/>
      <c r="R1834"/>
      <c r="S1834"/>
      <c r="T1834"/>
    </row>
    <row r="1835" spans="1:20" s="17" customFormat="1" x14ac:dyDescent="0.25">
      <c r="A1835" s="229"/>
      <c r="B1835" s="55"/>
      <c r="C1835" s="55"/>
      <c r="D1835" s="55"/>
      <c r="G1835" s="202"/>
      <c r="H1835" s="144"/>
      <c r="J1835" s="145"/>
      <c r="K1835" s="148"/>
      <c r="L1835" s="149"/>
      <c r="R1835"/>
      <c r="S1835"/>
      <c r="T1835"/>
    </row>
    <row r="1836" spans="1:20" s="17" customFormat="1" x14ac:dyDescent="0.25">
      <c r="A1836" s="229"/>
      <c r="B1836" s="55"/>
      <c r="C1836" s="55"/>
      <c r="D1836" s="55"/>
      <c r="G1836" s="202"/>
      <c r="H1836" s="144"/>
      <c r="J1836" s="145"/>
      <c r="K1836" s="148"/>
      <c r="L1836" s="149"/>
      <c r="R1836"/>
      <c r="S1836"/>
      <c r="T1836"/>
    </row>
    <row r="1837" spans="1:20" s="17" customFormat="1" x14ac:dyDescent="0.25">
      <c r="A1837" s="229"/>
      <c r="B1837" s="55"/>
      <c r="C1837" s="55"/>
      <c r="D1837" s="55"/>
      <c r="G1837" s="202"/>
      <c r="H1837" s="144"/>
      <c r="J1837" s="145"/>
      <c r="K1837" s="148"/>
      <c r="L1837" s="149"/>
      <c r="R1837"/>
      <c r="S1837"/>
      <c r="T1837"/>
    </row>
    <row r="1838" spans="1:20" s="17" customFormat="1" x14ac:dyDescent="0.25">
      <c r="A1838" s="229"/>
      <c r="B1838" s="55"/>
      <c r="C1838" s="55"/>
      <c r="D1838" s="55"/>
      <c r="G1838" s="202"/>
      <c r="H1838" s="144"/>
      <c r="J1838" s="145"/>
      <c r="K1838" s="148"/>
      <c r="L1838" s="149"/>
      <c r="R1838"/>
      <c r="S1838"/>
      <c r="T1838"/>
    </row>
    <row r="1839" spans="1:20" s="17" customFormat="1" x14ac:dyDescent="0.25">
      <c r="A1839" s="229"/>
      <c r="B1839" s="55"/>
      <c r="C1839" s="55"/>
      <c r="D1839" s="55"/>
      <c r="G1839" s="202"/>
      <c r="H1839" s="144"/>
      <c r="J1839" s="145"/>
      <c r="K1839" s="148"/>
      <c r="L1839" s="149"/>
      <c r="R1839"/>
      <c r="S1839"/>
      <c r="T1839"/>
    </row>
    <row r="1840" spans="1:20" s="17" customFormat="1" x14ac:dyDescent="0.25">
      <c r="A1840" s="229"/>
      <c r="B1840" s="55"/>
      <c r="C1840" s="55"/>
      <c r="D1840" s="55"/>
      <c r="G1840" s="202"/>
      <c r="H1840" s="144"/>
      <c r="J1840" s="145"/>
      <c r="K1840" s="148"/>
      <c r="L1840" s="149"/>
      <c r="R1840"/>
      <c r="S1840"/>
      <c r="T1840"/>
    </row>
    <row r="1841" spans="1:20" s="17" customFormat="1" x14ac:dyDescent="0.25">
      <c r="A1841" s="229"/>
      <c r="B1841" s="55"/>
      <c r="C1841" s="55"/>
      <c r="D1841" s="55"/>
      <c r="G1841" s="202"/>
      <c r="H1841" s="144"/>
      <c r="J1841" s="145"/>
      <c r="K1841" s="148"/>
      <c r="L1841" s="149"/>
      <c r="R1841"/>
      <c r="S1841"/>
      <c r="T1841"/>
    </row>
  </sheetData>
  <sheetProtection password="EC77" sheet="1" objects="1" scenarios="1"/>
  <mergeCells count="7">
    <mergeCell ref="R1:R5"/>
    <mergeCell ref="A1:P1"/>
    <mergeCell ref="E4:H4"/>
    <mergeCell ref="I4:J4"/>
    <mergeCell ref="E2:M3"/>
    <mergeCell ref="K4:M4"/>
    <mergeCell ref="N2:P5"/>
  </mergeCells>
  <pageMargins left="0.25" right="0.5" top="0.5" bottom="0.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V147"/>
  <sheetViews>
    <sheetView workbookViewId="0">
      <selection sqref="A1:H1"/>
    </sheetView>
  </sheetViews>
  <sheetFormatPr defaultRowHeight="15" x14ac:dyDescent="0.25"/>
  <cols>
    <col min="1" max="1" width="59" bestFit="1" customWidth="1"/>
    <col min="2" max="3" width="7.5703125" style="67" customWidth="1"/>
    <col min="4" max="4" width="15.5703125" style="67" customWidth="1"/>
    <col min="5" max="5" width="18.42578125" customWidth="1"/>
    <col min="6" max="6" width="19.85546875" customWidth="1"/>
    <col min="7" max="7" width="18.85546875" style="66" customWidth="1"/>
    <col min="8" max="8" width="21" style="66" customWidth="1"/>
    <col min="9" max="9" width="17" customWidth="1"/>
    <col min="10" max="10" width="19.7109375" customWidth="1"/>
    <col min="11" max="11" width="22" customWidth="1"/>
    <col min="12" max="12" width="17.28515625" customWidth="1"/>
    <col min="13" max="13" width="10.42578125" customWidth="1"/>
    <col min="14" max="14" width="9.7109375" customWidth="1"/>
    <col min="15" max="15" width="12.28515625" bestFit="1" customWidth="1"/>
    <col min="16" max="16" width="6.28515625" style="17" hidden="1" customWidth="1"/>
    <col min="17" max="17" width="18.28515625" hidden="1" customWidth="1"/>
    <col min="18" max="18" width="19" hidden="1" customWidth="1"/>
    <col min="19" max="19" width="19.42578125" hidden="1" customWidth="1"/>
    <col min="20" max="20" width="20" hidden="1" customWidth="1"/>
    <col min="21" max="21" width="15.85546875" hidden="1" customWidth="1"/>
    <col min="22" max="22" width="20.7109375" hidden="1" customWidth="1"/>
    <col min="23" max="23" width="21" hidden="1" customWidth="1"/>
    <col min="24" max="24" width="17.28515625" hidden="1" customWidth="1"/>
    <col min="25" max="25" width="6" style="17" hidden="1" customWidth="1"/>
    <col min="26" max="26" width="4.7109375" style="17" hidden="1" customWidth="1"/>
    <col min="27" max="27" width="15.28515625" hidden="1" customWidth="1"/>
    <col min="28" max="28" width="19" hidden="1" customWidth="1"/>
    <col min="29" max="29" width="19.42578125" hidden="1" customWidth="1"/>
    <col min="30" max="30" width="17.5703125" hidden="1" customWidth="1"/>
    <col min="31" max="31" width="15.85546875" hidden="1" customWidth="1"/>
    <col min="32" max="32" width="19" hidden="1" customWidth="1"/>
    <col min="33" max="33" width="21" hidden="1" customWidth="1"/>
    <col min="34" max="34" width="17.28515625" hidden="1" customWidth="1"/>
  </cols>
  <sheetData>
    <row r="1" spans="1:34" ht="18.75" x14ac:dyDescent="0.25">
      <c r="A1" s="807" t="s">
        <v>90</v>
      </c>
      <c r="B1" s="807"/>
      <c r="C1" s="807"/>
      <c r="D1" s="807"/>
      <c r="E1" s="807"/>
      <c r="F1" s="807"/>
      <c r="G1" s="807"/>
      <c r="H1" s="807"/>
      <c r="I1" s="807" t="s">
        <v>90</v>
      </c>
      <c r="J1" s="807"/>
      <c r="K1" s="807"/>
      <c r="L1" s="807"/>
      <c r="M1" s="807"/>
      <c r="N1" s="807"/>
      <c r="O1" s="807"/>
      <c r="P1" s="99"/>
      <c r="Q1" s="111"/>
      <c r="R1" s="55"/>
      <c r="S1" s="67"/>
      <c r="Y1"/>
      <c r="Z1"/>
      <c r="AC1" s="40"/>
    </row>
    <row r="2" spans="1:34" ht="15" customHeight="1" x14ac:dyDescent="0.25">
      <c r="A2" s="94" t="s">
        <v>0</v>
      </c>
      <c r="B2" s="95"/>
      <c r="C2" s="95"/>
      <c r="D2" s="95"/>
      <c r="E2" s="815" t="s">
        <v>136</v>
      </c>
      <c r="F2" s="815"/>
      <c r="G2" s="815"/>
      <c r="H2" s="815"/>
      <c r="I2" s="815" t="s">
        <v>136</v>
      </c>
      <c r="J2" s="815"/>
      <c r="K2" s="815"/>
      <c r="L2" s="815"/>
      <c r="M2" s="100"/>
      <c r="N2" s="100"/>
      <c r="O2" s="100"/>
      <c r="P2" s="37"/>
      <c r="Y2" s="40"/>
      <c r="Z2" s="40"/>
    </row>
    <row r="3" spans="1:34" ht="15" customHeight="1" x14ac:dyDescent="0.25">
      <c r="A3" s="94" t="s">
        <v>0</v>
      </c>
      <c r="B3" s="95"/>
      <c r="C3" s="95"/>
      <c r="D3" s="95"/>
      <c r="E3" s="816"/>
      <c r="F3" s="816"/>
      <c r="G3" s="816"/>
      <c r="H3" s="816"/>
      <c r="I3" s="816"/>
      <c r="J3" s="816"/>
      <c r="K3" s="816"/>
      <c r="L3" s="816"/>
      <c r="M3" s="100"/>
      <c r="N3" s="100"/>
      <c r="O3" s="100"/>
      <c r="P3" s="37"/>
      <c r="Q3" s="825" t="s">
        <v>135</v>
      </c>
      <c r="R3" s="825"/>
      <c r="S3" s="825"/>
      <c r="T3" s="825"/>
      <c r="U3" s="825"/>
      <c r="V3" s="825"/>
      <c r="W3" s="825"/>
      <c r="X3" s="825"/>
      <c r="Y3" s="105"/>
      <c r="Z3" s="105"/>
      <c r="AA3" s="825" t="s">
        <v>134</v>
      </c>
      <c r="AB3" s="825"/>
      <c r="AC3" s="825"/>
      <c r="AD3" s="825"/>
      <c r="AE3" s="825"/>
      <c r="AF3" s="825"/>
      <c r="AG3" s="825"/>
      <c r="AH3" s="825"/>
    </row>
    <row r="4" spans="1:34" ht="18.75" x14ac:dyDescent="0.3">
      <c r="A4" s="94"/>
      <c r="B4" s="95" t="s">
        <v>0</v>
      </c>
      <c r="C4" s="95"/>
      <c r="D4" s="95"/>
      <c r="E4" s="810" t="s">
        <v>1</v>
      </c>
      <c r="F4" s="811"/>
      <c r="G4" s="811"/>
      <c r="H4" s="812"/>
      <c r="I4" s="813" t="s">
        <v>2</v>
      </c>
      <c r="J4" s="814"/>
      <c r="K4" s="808" t="s">
        <v>133</v>
      </c>
      <c r="L4" s="809"/>
      <c r="M4" s="101" t="s">
        <v>99</v>
      </c>
      <c r="N4" s="102"/>
      <c r="O4" s="102"/>
      <c r="P4" s="37"/>
      <c r="Q4" s="826"/>
      <c r="R4" s="826"/>
      <c r="S4" s="826"/>
      <c r="T4" s="826"/>
      <c r="U4" s="826"/>
      <c r="V4" s="826"/>
      <c r="W4" s="826"/>
      <c r="X4" s="826"/>
      <c r="Y4" s="106"/>
      <c r="Z4" s="106"/>
      <c r="AA4" s="826"/>
      <c r="AB4" s="826"/>
      <c r="AC4" s="826"/>
      <c r="AD4" s="826"/>
      <c r="AE4" s="826"/>
      <c r="AF4" s="826"/>
      <c r="AG4" s="826"/>
      <c r="AH4" s="826"/>
    </row>
    <row r="5" spans="1:34" x14ac:dyDescent="0.25">
      <c r="A5" s="94"/>
      <c r="B5" s="95"/>
      <c r="C5" s="95"/>
      <c r="D5" s="95"/>
      <c r="E5" s="2">
        <v>1</v>
      </c>
      <c r="F5" s="2">
        <v>2</v>
      </c>
      <c r="G5" s="2">
        <v>3</v>
      </c>
      <c r="H5" s="2">
        <v>4</v>
      </c>
      <c r="I5" s="3">
        <v>5</v>
      </c>
      <c r="J5" s="3">
        <v>6</v>
      </c>
      <c r="K5" s="4">
        <v>7</v>
      </c>
      <c r="L5" s="4">
        <v>8</v>
      </c>
      <c r="M5" s="103"/>
      <c r="N5" s="104"/>
      <c r="O5" s="104"/>
      <c r="P5" s="37"/>
      <c r="Q5" s="2">
        <v>1</v>
      </c>
      <c r="R5" s="2">
        <v>2</v>
      </c>
      <c r="S5" s="2">
        <v>3</v>
      </c>
      <c r="T5" s="2">
        <v>4</v>
      </c>
      <c r="U5" s="3">
        <v>5</v>
      </c>
      <c r="V5" s="3">
        <v>6</v>
      </c>
      <c r="W5" s="4">
        <v>7</v>
      </c>
      <c r="X5" s="4">
        <v>8</v>
      </c>
      <c r="Y5" s="41"/>
      <c r="Z5" s="41"/>
      <c r="AA5" s="2">
        <v>1</v>
      </c>
      <c r="AB5" s="2">
        <v>2</v>
      </c>
      <c r="AC5" s="2">
        <v>3</v>
      </c>
      <c r="AD5" s="2">
        <v>4</v>
      </c>
      <c r="AE5" s="3">
        <v>5</v>
      </c>
      <c r="AF5" s="3">
        <v>6</v>
      </c>
      <c r="AG5" s="4">
        <v>7</v>
      </c>
      <c r="AH5" s="4">
        <v>8</v>
      </c>
    </row>
    <row r="6" spans="1:34" ht="194.25" customHeight="1" x14ac:dyDescent="0.25">
      <c r="A6" s="5" t="s">
        <v>0</v>
      </c>
      <c r="B6" s="24" t="s">
        <v>3</v>
      </c>
      <c r="C6" s="24" t="s">
        <v>89</v>
      </c>
      <c r="D6" s="25" t="s">
        <v>124</v>
      </c>
      <c r="E6" s="25" t="s">
        <v>132</v>
      </c>
      <c r="F6" s="25" t="s">
        <v>125</v>
      </c>
      <c r="G6" s="68" t="s">
        <v>126</v>
      </c>
      <c r="H6" s="68" t="s">
        <v>127</v>
      </c>
      <c r="I6" s="69" t="s">
        <v>128</v>
      </c>
      <c r="J6" s="26" t="s">
        <v>129</v>
      </c>
      <c r="K6" s="26" t="s">
        <v>130</v>
      </c>
      <c r="L6" s="25" t="s">
        <v>131</v>
      </c>
      <c r="M6" s="35" t="s">
        <v>78</v>
      </c>
      <c r="N6" s="35" t="s">
        <v>79</v>
      </c>
      <c r="O6" s="36" t="s">
        <v>98</v>
      </c>
      <c r="P6" s="38"/>
      <c r="Q6" s="25" t="s">
        <v>132</v>
      </c>
      <c r="R6" s="25" t="s">
        <v>125</v>
      </c>
      <c r="S6" s="68" t="s">
        <v>126</v>
      </c>
      <c r="T6" s="68" t="s">
        <v>127</v>
      </c>
      <c r="U6" s="69" t="s">
        <v>128</v>
      </c>
      <c r="V6" s="26" t="s">
        <v>129</v>
      </c>
      <c r="W6" s="26" t="s">
        <v>130</v>
      </c>
      <c r="X6" s="25" t="s">
        <v>131</v>
      </c>
      <c r="Y6" s="42"/>
      <c r="Z6" s="42"/>
      <c r="AA6" s="25" t="s">
        <v>132</v>
      </c>
      <c r="AB6" s="25" t="s">
        <v>125</v>
      </c>
      <c r="AC6" s="68" t="s">
        <v>126</v>
      </c>
      <c r="AD6" s="68" t="s">
        <v>127</v>
      </c>
      <c r="AE6" s="69" t="s">
        <v>128</v>
      </c>
      <c r="AF6" s="26" t="s">
        <v>129</v>
      </c>
      <c r="AG6" s="26" t="s">
        <v>130</v>
      </c>
      <c r="AH6" s="25" t="s">
        <v>131</v>
      </c>
    </row>
    <row r="7" spans="1:34" s="17" customFormat="1" ht="15" customHeight="1" x14ac:dyDescent="0.25">
      <c r="A7" s="9" t="s">
        <v>6</v>
      </c>
      <c r="B7" s="15" t="s">
        <v>5</v>
      </c>
      <c r="C7" s="72">
        <v>333</v>
      </c>
      <c r="D7" s="96">
        <v>11</v>
      </c>
      <c r="E7" s="10">
        <v>21</v>
      </c>
      <c r="F7" s="14">
        <v>9.5200000000000007E-2</v>
      </c>
      <c r="G7" s="64">
        <v>0.46808510638297873</v>
      </c>
      <c r="H7" s="64">
        <v>0.81818181818181823</v>
      </c>
      <c r="I7" s="16">
        <v>3</v>
      </c>
      <c r="J7" s="14">
        <f>(3-1)/21</f>
        <v>9.5238095238095233E-2</v>
      </c>
      <c r="K7" s="14">
        <f>18/21</f>
        <v>0.8571428571428571</v>
      </c>
      <c r="L7" s="16">
        <v>5.4</v>
      </c>
      <c r="M7" s="15">
        <f t="shared" ref="M7:M38" si="0">SUM(Q7:X7)</f>
        <v>4</v>
      </c>
      <c r="N7" s="15">
        <f t="shared" ref="N7:N38" si="1">SUM(AA7:AH7)</f>
        <v>2</v>
      </c>
      <c r="O7" s="15">
        <f>M7-N7</f>
        <v>2</v>
      </c>
      <c r="P7" s="39"/>
      <c r="Q7" s="30">
        <f>IF(AND(E7&gt;=80,E7&lt;=307),1,0)</f>
        <v>0</v>
      </c>
      <c r="R7" s="30">
        <f>IF(AND(F7&gt;=0.114,F7&lt;=0.343),1,0)</f>
        <v>0</v>
      </c>
      <c r="S7" s="30">
        <f>IF(AND(G7&gt;=0.042,G7&lt;=0.225),1,0)</f>
        <v>0</v>
      </c>
      <c r="T7" s="30">
        <f>IF(AND(H7&gt;=0.816,H7&lt;=0.952),1,0)</f>
        <v>1</v>
      </c>
      <c r="U7" s="30">
        <f>IF(AND(I7&gt;=3,I7&lt;=3.9),1,0)</f>
        <v>1</v>
      </c>
      <c r="V7" s="30">
        <f>IF(AND(J7&gt;=0,J7&lt;=0.23),1,0)</f>
        <v>1</v>
      </c>
      <c r="W7" s="30">
        <f>IF(AND(K7&gt;=0.723,K7&lt;=1),1,0)</f>
        <v>1</v>
      </c>
      <c r="X7" s="30">
        <f>IF(AND(L7&gt;=12.4,L7&lt;=44),1,0)</f>
        <v>0</v>
      </c>
      <c r="Y7" s="43"/>
      <c r="Z7" s="43"/>
      <c r="AA7" s="31">
        <f>IF(AND(E7&gt;=5,E7&lt;=28),1,0)</f>
        <v>1</v>
      </c>
      <c r="AB7" s="31">
        <f>IF(AND(F7&gt;=0,F7&lt;=0.043),1,0)</f>
        <v>0</v>
      </c>
      <c r="AC7" s="31">
        <f>IF(AND(G7&gt;=0.45,G7&lt;=0.628),1,0)</f>
        <v>1</v>
      </c>
      <c r="AD7" s="31">
        <f>IF(AND(H7&gt;=0.227,H7&lt;=0.491),1,0)</f>
        <v>0</v>
      </c>
      <c r="AE7" s="31">
        <f t="shared" ref="AE7:AE63" si="2">IF(AND(I7&gt;=4.3,I7&lt;=5.7),1,0)</f>
        <v>0</v>
      </c>
      <c r="AF7" s="31">
        <f>IF(AND(J7&gt;=0.357,J7&lt;=0.563),1,0)</f>
        <v>0</v>
      </c>
      <c r="AG7" s="31">
        <f>IF(AND(K7&gt;=0.187,K7&lt;=0.527),1,0)</f>
        <v>0</v>
      </c>
      <c r="AH7" s="31">
        <f>IF(AND(L7&gt;=0.6,L7&lt;=4.9),1,0)</f>
        <v>0</v>
      </c>
    </row>
    <row r="8" spans="1:34" s="17" customFormat="1" ht="15" customHeight="1" x14ac:dyDescent="0.25">
      <c r="A8" s="9" t="s">
        <v>15</v>
      </c>
      <c r="B8" s="15" t="s">
        <v>5</v>
      </c>
      <c r="C8" s="72">
        <v>334</v>
      </c>
      <c r="D8" s="96">
        <v>14</v>
      </c>
      <c r="E8" s="10">
        <v>17</v>
      </c>
      <c r="F8" s="14">
        <v>0</v>
      </c>
      <c r="G8" s="64">
        <v>0.56338028169014087</v>
      </c>
      <c r="H8" s="64">
        <v>0.42499999999999999</v>
      </c>
      <c r="I8" s="16">
        <v>3.7</v>
      </c>
      <c r="J8" s="14">
        <f>(1-0)/12</f>
        <v>8.3333333333333329E-2</v>
      </c>
      <c r="K8" s="14">
        <f>11/12</f>
        <v>0.91666666666666663</v>
      </c>
      <c r="L8" s="16">
        <v>5.2</v>
      </c>
      <c r="M8" s="15">
        <f t="shared" si="0"/>
        <v>3</v>
      </c>
      <c r="N8" s="15">
        <f t="shared" si="1"/>
        <v>4</v>
      </c>
      <c r="O8" s="15">
        <f t="shared" ref="O8:O63" si="3">M8-N8</f>
        <v>-1</v>
      </c>
      <c r="P8" s="39"/>
      <c r="Q8" s="30">
        <f t="shared" ref="Q8:Q63" si="4">IF(AND(E8&gt;=80,E8&lt;=307),1,0)</f>
        <v>0</v>
      </c>
      <c r="R8" s="30">
        <f t="shared" ref="R8:R63" si="5">IF(AND(F8&gt;=0.114,F8&lt;=0.343),1,0)</f>
        <v>0</v>
      </c>
      <c r="S8" s="30">
        <f t="shared" ref="S8:S63" si="6">IF(AND(G8&gt;=0.042,G8&lt;=0.225),1,0)</f>
        <v>0</v>
      </c>
      <c r="T8" s="30">
        <f t="shared" ref="T8:T63" si="7">IF(AND(H8&gt;=0.816,H8&lt;=0.952),1,0)</f>
        <v>0</v>
      </c>
      <c r="U8" s="30">
        <f t="shared" ref="U8:U63" si="8">IF(AND(I8&gt;=3,I8&lt;=3.9),1,0)</f>
        <v>1</v>
      </c>
      <c r="V8" s="30">
        <f t="shared" ref="V8:V63" si="9">IF(AND(J8&gt;=0,J8&lt;=0.23),1,0)</f>
        <v>1</v>
      </c>
      <c r="W8" s="30">
        <f t="shared" ref="W8:W63" si="10">IF(AND(K8&gt;=0.723,K8&lt;=1),1,0)</f>
        <v>1</v>
      </c>
      <c r="X8" s="30">
        <f t="shared" ref="X8:X63" si="11">IF(AND(L8&gt;=12.4,L8&lt;=44),1,0)</f>
        <v>0</v>
      </c>
      <c r="Y8" s="43"/>
      <c r="Z8" s="43"/>
      <c r="AA8" s="31">
        <f t="shared" ref="AA8:AA63" si="12">IF(AND(E8&gt;=5,E8&lt;=28),1,0)</f>
        <v>1</v>
      </c>
      <c r="AB8" s="31">
        <f t="shared" ref="AB8:AB63" si="13">IF(AND(F8&gt;=0,F8&lt;=0.043),1,0)</f>
        <v>1</v>
      </c>
      <c r="AC8" s="31">
        <f t="shared" ref="AC8:AC63" si="14">IF(AND(G8&gt;=0.45,G8&lt;=0.628),1,0)</f>
        <v>1</v>
      </c>
      <c r="AD8" s="31">
        <f t="shared" ref="AD8:AD63" si="15">IF(AND(H8&gt;=0.227,H8&lt;=0.491),1,0)</f>
        <v>1</v>
      </c>
      <c r="AE8" s="31">
        <f t="shared" si="2"/>
        <v>0</v>
      </c>
      <c r="AF8" s="31">
        <f t="shared" ref="AF8:AF63" si="16">IF(AND(J8&gt;=0.357,J8&lt;=0.563),1,0)</f>
        <v>0</v>
      </c>
      <c r="AG8" s="31">
        <f t="shared" ref="AG8:AG63" si="17">IF(AND(K8&gt;=0.187,K8&lt;=0.527),1,0)</f>
        <v>0</v>
      </c>
      <c r="AH8" s="31">
        <f t="shared" ref="AH8:AH63" si="18">IF(AND(L8&gt;=0.6,L8&lt;=4.9),1,0)</f>
        <v>0</v>
      </c>
    </row>
    <row r="9" spans="1:34" s="17" customFormat="1" ht="14.25" customHeight="1" x14ac:dyDescent="0.25">
      <c r="A9" s="9" t="s">
        <v>4</v>
      </c>
      <c r="B9" s="15" t="s">
        <v>5</v>
      </c>
      <c r="C9" s="72">
        <v>335</v>
      </c>
      <c r="D9" s="96">
        <v>23</v>
      </c>
      <c r="E9" s="10">
        <v>12</v>
      </c>
      <c r="F9" s="14">
        <v>0.22220000000000001</v>
      </c>
      <c r="G9" s="64">
        <v>0.30303030303030304</v>
      </c>
      <c r="H9" s="64">
        <v>0.85</v>
      </c>
      <c r="I9" s="16">
        <v>3.7</v>
      </c>
      <c r="J9" s="14">
        <f>(8-2)/22</f>
        <v>0.27272727272727271</v>
      </c>
      <c r="K9" s="14">
        <f>14/22</f>
        <v>0.63636363636363635</v>
      </c>
      <c r="L9" s="16">
        <v>5.2</v>
      </c>
      <c r="M9" s="15">
        <f t="shared" si="0"/>
        <v>3</v>
      </c>
      <c r="N9" s="15">
        <f t="shared" si="1"/>
        <v>1</v>
      </c>
      <c r="O9" s="15">
        <f t="shared" si="3"/>
        <v>2</v>
      </c>
      <c r="P9" s="39"/>
      <c r="Q9" s="30">
        <f t="shared" si="4"/>
        <v>0</v>
      </c>
      <c r="R9" s="30">
        <f t="shared" si="5"/>
        <v>1</v>
      </c>
      <c r="S9" s="30">
        <f t="shared" si="6"/>
        <v>0</v>
      </c>
      <c r="T9" s="30">
        <f t="shared" si="7"/>
        <v>1</v>
      </c>
      <c r="U9" s="30">
        <f t="shared" si="8"/>
        <v>1</v>
      </c>
      <c r="V9" s="30">
        <f t="shared" si="9"/>
        <v>0</v>
      </c>
      <c r="W9" s="30">
        <f t="shared" si="10"/>
        <v>0</v>
      </c>
      <c r="X9" s="30">
        <f t="shared" si="11"/>
        <v>0</v>
      </c>
      <c r="Y9" s="43"/>
      <c r="Z9" s="43"/>
      <c r="AA9" s="31">
        <f t="shared" si="12"/>
        <v>1</v>
      </c>
      <c r="AB9" s="31">
        <f t="shared" si="13"/>
        <v>0</v>
      </c>
      <c r="AC9" s="31">
        <f t="shared" si="14"/>
        <v>0</v>
      </c>
      <c r="AD9" s="31">
        <f t="shared" si="15"/>
        <v>0</v>
      </c>
      <c r="AE9" s="31">
        <f t="shared" si="2"/>
        <v>0</v>
      </c>
      <c r="AF9" s="31">
        <f t="shared" si="16"/>
        <v>0</v>
      </c>
      <c r="AG9" s="31">
        <f t="shared" si="17"/>
        <v>0</v>
      </c>
      <c r="AH9" s="31">
        <f t="shared" si="18"/>
        <v>0</v>
      </c>
    </row>
    <row r="10" spans="1:34" s="17" customFormat="1" x14ac:dyDescent="0.25">
      <c r="A10" s="9" t="s">
        <v>16</v>
      </c>
      <c r="B10" s="15" t="s">
        <v>5</v>
      </c>
      <c r="C10" s="72">
        <v>62</v>
      </c>
      <c r="D10" s="96">
        <v>31</v>
      </c>
      <c r="E10" s="10">
        <v>71</v>
      </c>
      <c r="F10" s="14">
        <v>4.2299999999999997E-2</v>
      </c>
      <c r="G10" s="64">
        <v>0.53703703703703709</v>
      </c>
      <c r="H10" s="64">
        <v>0.87931034482758619</v>
      </c>
      <c r="I10" s="16">
        <v>4.7</v>
      </c>
      <c r="J10" s="14">
        <f>(8-1)/26</f>
        <v>0.26923076923076922</v>
      </c>
      <c r="K10" s="14">
        <f>18/26</f>
        <v>0.69230769230769229</v>
      </c>
      <c r="L10" s="16">
        <v>7.8</v>
      </c>
      <c r="M10" s="15">
        <f t="shared" si="0"/>
        <v>1</v>
      </c>
      <c r="N10" s="15">
        <f t="shared" si="1"/>
        <v>3</v>
      </c>
      <c r="O10" s="15">
        <f t="shared" si="3"/>
        <v>-2</v>
      </c>
      <c r="P10" s="39"/>
      <c r="Q10" s="30">
        <f t="shared" si="4"/>
        <v>0</v>
      </c>
      <c r="R10" s="30">
        <f t="shared" si="5"/>
        <v>0</v>
      </c>
      <c r="S10" s="30">
        <f t="shared" si="6"/>
        <v>0</v>
      </c>
      <c r="T10" s="30">
        <f t="shared" si="7"/>
        <v>1</v>
      </c>
      <c r="U10" s="30">
        <f t="shared" si="8"/>
        <v>0</v>
      </c>
      <c r="V10" s="30">
        <f t="shared" si="9"/>
        <v>0</v>
      </c>
      <c r="W10" s="30">
        <f t="shared" si="10"/>
        <v>0</v>
      </c>
      <c r="X10" s="30">
        <f t="shared" si="11"/>
        <v>0</v>
      </c>
      <c r="Y10" s="43"/>
      <c r="Z10" s="43"/>
      <c r="AA10" s="31">
        <f t="shared" si="12"/>
        <v>0</v>
      </c>
      <c r="AB10" s="31">
        <f t="shared" si="13"/>
        <v>1</v>
      </c>
      <c r="AC10" s="31">
        <f t="shared" si="14"/>
        <v>1</v>
      </c>
      <c r="AD10" s="31">
        <f t="shared" si="15"/>
        <v>0</v>
      </c>
      <c r="AE10" s="31">
        <f t="shared" si="2"/>
        <v>1</v>
      </c>
      <c r="AF10" s="31">
        <f t="shared" si="16"/>
        <v>0</v>
      </c>
      <c r="AG10" s="31">
        <f t="shared" si="17"/>
        <v>0</v>
      </c>
      <c r="AH10" s="31">
        <f t="shared" si="18"/>
        <v>0</v>
      </c>
    </row>
    <row r="11" spans="1:34" x14ac:dyDescent="0.25">
      <c r="A11" s="33" t="s">
        <v>102</v>
      </c>
      <c r="B11" s="15" t="s">
        <v>5</v>
      </c>
      <c r="C11" s="72" t="s">
        <v>103</v>
      </c>
      <c r="D11" s="96">
        <v>41</v>
      </c>
      <c r="E11" s="10">
        <f>34+21</f>
        <v>55</v>
      </c>
      <c r="F11" s="14">
        <f>0.0882*34/E11</f>
        <v>5.4523636363636364E-2</v>
      </c>
      <c r="G11" s="64">
        <f>(13+38)/(64+74)</f>
        <v>0.36956521739130432</v>
      </c>
      <c r="H11" s="64">
        <f>(13+32)/(13+38)</f>
        <v>0.88235294117647056</v>
      </c>
      <c r="I11" s="16">
        <f>(4.3*21+4.3*34)/E11</f>
        <v>4.3</v>
      </c>
      <c r="J11" s="14">
        <f>(5+5)/(12+24)</f>
        <v>0.27777777777777779</v>
      </c>
      <c r="K11" s="14">
        <f>(5+18)/(12+24)</f>
        <v>0.63888888888888884</v>
      </c>
      <c r="L11" s="16">
        <f>2.2+5.8</f>
        <v>8</v>
      </c>
      <c r="M11" s="15">
        <f t="shared" si="0"/>
        <v>1</v>
      </c>
      <c r="N11" s="15">
        <f t="shared" si="1"/>
        <v>1</v>
      </c>
      <c r="O11" s="15">
        <f t="shared" si="3"/>
        <v>0</v>
      </c>
      <c r="P11" s="39"/>
      <c r="Q11" s="30">
        <f t="shared" si="4"/>
        <v>0</v>
      </c>
      <c r="R11" s="30">
        <f t="shared" si="5"/>
        <v>0</v>
      </c>
      <c r="S11" s="30">
        <f t="shared" si="6"/>
        <v>0</v>
      </c>
      <c r="T11" s="30">
        <f t="shared" si="7"/>
        <v>1</v>
      </c>
      <c r="U11" s="30">
        <f t="shared" si="8"/>
        <v>0</v>
      </c>
      <c r="V11" s="30">
        <f t="shared" si="9"/>
        <v>0</v>
      </c>
      <c r="W11" s="30">
        <f t="shared" si="10"/>
        <v>0</v>
      </c>
      <c r="X11" s="30">
        <f t="shared" si="11"/>
        <v>0</v>
      </c>
      <c r="Y11" s="43"/>
      <c r="Z11" s="43"/>
      <c r="AA11" s="31">
        <f t="shared" si="12"/>
        <v>0</v>
      </c>
      <c r="AB11" s="31">
        <f t="shared" si="13"/>
        <v>0</v>
      </c>
      <c r="AC11" s="31">
        <f t="shared" si="14"/>
        <v>0</v>
      </c>
      <c r="AD11" s="31">
        <f t="shared" si="15"/>
        <v>0</v>
      </c>
      <c r="AE11" s="31">
        <f t="shared" si="2"/>
        <v>1</v>
      </c>
      <c r="AF11" s="31">
        <f t="shared" si="16"/>
        <v>0</v>
      </c>
      <c r="AG11" s="31">
        <f t="shared" si="17"/>
        <v>0</v>
      </c>
      <c r="AH11" s="31">
        <f t="shared" si="18"/>
        <v>0</v>
      </c>
    </row>
    <row r="12" spans="1:34" s="17" customFormat="1" x14ac:dyDescent="0.25">
      <c r="A12" s="9" t="s">
        <v>12</v>
      </c>
      <c r="B12" s="15" t="s">
        <v>5</v>
      </c>
      <c r="C12" s="72">
        <v>67</v>
      </c>
      <c r="D12" s="96">
        <v>24.5</v>
      </c>
      <c r="E12" s="10">
        <v>32</v>
      </c>
      <c r="F12" s="14">
        <v>0.15629999999999999</v>
      </c>
      <c r="G12" s="64">
        <v>0.42553191489361702</v>
      </c>
      <c r="H12" s="64">
        <v>0.25</v>
      </c>
      <c r="I12" s="16">
        <v>4</v>
      </c>
      <c r="J12" s="23">
        <f>(8-0)/22</f>
        <v>0.36363636363636365</v>
      </c>
      <c r="K12" s="23">
        <f>14/22</f>
        <v>0.63636363636363635</v>
      </c>
      <c r="L12" s="16">
        <v>5.6</v>
      </c>
      <c r="M12" s="15">
        <f t="shared" si="0"/>
        <v>1</v>
      </c>
      <c r="N12" s="15">
        <f t="shared" si="1"/>
        <v>2</v>
      </c>
      <c r="O12" s="15">
        <f t="shared" si="3"/>
        <v>-1</v>
      </c>
      <c r="P12" s="39"/>
      <c r="Q12" s="30">
        <f t="shared" si="4"/>
        <v>0</v>
      </c>
      <c r="R12" s="30">
        <f t="shared" si="5"/>
        <v>1</v>
      </c>
      <c r="S12" s="30">
        <f t="shared" si="6"/>
        <v>0</v>
      </c>
      <c r="T12" s="30">
        <f t="shared" si="7"/>
        <v>0</v>
      </c>
      <c r="U12" s="30">
        <f t="shared" si="8"/>
        <v>0</v>
      </c>
      <c r="V12" s="30">
        <f t="shared" si="9"/>
        <v>0</v>
      </c>
      <c r="W12" s="30">
        <f t="shared" si="10"/>
        <v>0</v>
      </c>
      <c r="X12" s="30">
        <f t="shared" si="11"/>
        <v>0</v>
      </c>
      <c r="Y12" s="43"/>
      <c r="Z12" s="43"/>
      <c r="AA12" s="31">
        <f t="shared" si="12"/>
        <v>0</v>
      </c>
      <c r="AB12" s="31">
        <f t="shared" si="13"/>
        <v>0</v>
      </c>
      <c r="AC12" s="31">
        <f t="shared" si="14"/>
        <v>0</v>
      </c>
      <c r="AD12" s="31">
        <f t="shared" si="15"/>
        <v>1</v>
      </c>
      <c r="AE12" s="31">
        <f t="shared" si="2"/>
        <v>0</v>
      </c>
      <c r="AF12" s="31">
        <f t="shared" si="16"/>
        <v>1</v>
      </c>
      <c r="AG12" s="31">
        <f t="shared" si="17"/>
        <v>0</v>
      </c>
      <c r="AH12" s="31">
        <f t="shared" si="18"/>
        <v>0</v>
      </c>
    </row>
    <row r="13" spans="1:34" s="17" customFormat="1" x14ac:dyDescent="0.25">
      <c r="A13" s="9" t="s">
        <v>14</v>
      </c>
      <c r="B13" s="15" t="s">
        <v>5</v>
      </c>
      <c r="C13" s="72">
        <v>68</v>
      </c>
      <c r="D13" s="96">
        <v>22.5</v>
      </c>
      <c r="E13" s="10">
        <v>28</v>
      </c>
      <c r="F13" s="14">
        <v>7.1400000000000005E-2</v>
      </c>
      <c r="G13" s="64">
        <v>0.24056603773584906</v>
      </c>
      <c r="H13" s="64">
        <v>0.5490196078431373</v>
      </c>
      <c r="I13" s="16">
        <v>3.8</v>
      </c>
      <c r="J13" s="23">
        <f>(6-1)/17</f>
        <v>0.29411764705882354</v>
      </c>
      <c r="K13" s="23">
        <f>11/17</f>
        <v>0.6470588235294118</v>
      </c>
      <c r="L13" s="16">
        <v>4</v>
      </c>
      <c r="M13" s="15">
        <f t="shared" si="0"/>
        <v>1</v>
      </c>
      <c r="N13" s="15">
        <f t="shared" si="1"/>
        <v>2</v>
      </c>
      <c r="O13" s="15">
        <f t="shared" si="3"/>
        <v>-1</v>
      </c>
      <c r="P13" s="39"/>
      <c r="Q13" s="30">
        <f t="shared" si="4"/>
        <v>0</v>
      </c>
      <c r="R13" s="30">
        <f t="shared" si="5"/>
        <v>0</v>
      </c>
      <c r="S13" s="30">
        <f t="shared" si="6"/>
        <v>0</v>
      </c>
      <c r="T13" s="30">
        <f t="shared" si="7"/>
        <v>0</v>
      </c>
      <c r="U13" s="30">
        <f t="shared" si="8"/>
        <v>1</v>
      </c>
      <c r="V13" s="30">
        <f t="shared" si="9"/>
        <v>0</v>
      </c>
      <c r="W13" s="30">
        <f t="shared" si="10"/>
        <v>0</v>
      </c>
      <c r="X13" s="30">
        <f t="shared" si="11"/>
        <v>0</v>
      </c>
      <c r="Y13" s="43"/>
      <c r="Z13" s="43"/>
      <c r="AA13" s="31">
        <f t="shared" si="12"/>
        <v>1</v>
      </c>
      <c r="AB13" s="31">
        <f t="shared" si="13"/>
        <v>0</v>
      </c>
      <c r="AC13" s="31">
        <f t="shared" si="14"/>
        <v>0</v>
      </c>
      <c r="AD13" s="31">
        <f t="shared" si="15"/>
        <v>0</v>
      </c>
      <c r="AE13" s="31">
        <f t="shared" si="2"/>
        <v>0</v>
      </c>
      <c r="AF13" s="31">
        <f t="shared" si="16"/>
        <v>0</v>
      </c>
      <c r="AG13" s="31">
        <f t="shared" si="17"/>
        <v>0</v>
      </c>
      <c r="AH13" s="31">
        <f t="shared" si="18"/>
        <v>1</v>
      </c>
    </row>
    <row r="14" spans="1:34" x14ac:dyDescent="0.25">
      <c r="A14" s="46" t="s">
        <v>10</v>
      </c>
      <c r="B14" s="15" t="s">
        <v>5</v>
      </c>
      <c r="C14" s="72">
        <v>82</v>
      </c>
      <c r="D14" s="96">
        <f>24.2+17.8</f>
        <v>42</v>
      </c>
      <c r="E14" s="10">
        <v>42</v>
      </c>
      <c r="F14" s="14">
        <v>2.3800000000000002E-2</v>
      </c>
      <c r="G14" s="64">
        <v>0.38596491228070173</v>
      </c>
      <c r="H14" s="64">
        <v>0.88636363636363635</v>
      </c>
      <c r="I14" s="16">
        <v>4</v>
      </c>
      <c r="J14" s="14">
        <f>(6-0)/21</f>
        <v>0.2857142857142857</v>
      </c>
      <c r="K14" s="14">
        <f>15/21</f>
        <v>0.7142857142857143</v>
      </c>
      <c r="L14" s="16">
        <v>6.2</v>
      </c>
      <c r="M14" s="15">
        <f t="shared" si="0"/>
        <v>1</v>
      </c>
      <c r="N14" s="15">
        <f t="shared" si="1"/>
        <v>1</v>
      </c>
      <c r="O14" s="15">
        <f t="shared" si="3"/>
        <v>0</v>
      </c>
      <c r="P14" s="39"/>
      <c r="Q14" s="30">
        <f t="shared" si="4"/>
        <v>0</v>
      </c>
      <c r="R14" s="30">
        <f t="shared" si="5"/>
        <v>0</v>
      </c>
      <c r="S14" s="30">
        <f t="shared" si="6"/>
        <v>0</v>
      </c>
      <c r="T14" s="30">
        <f t="shared" si="7"/>
        <v>1</v>
      </c>
      <c r="U14" s="30">
        <f t="shared" si="8"/>
        <v>0</v>
      </c>
      <c r="V14" s="30">
        <f t="shared" si="9"/>
        <v>0</v>
      </c>
      <c r="W14" s="30">
        <f t="shared" si="10"/>
        <v>0</v>
      </c>
      <c r="X14" s="30">
        <f t="shared" si="11"/>
        <v>0</v>
      </c>
      <c r="Y14" s="43"/>
      <c r="Z14" s="43"/>
      <c r="AA14" s="31">
        <f t="shared" si="12"/>
        <v>0</v>
      </c>
      <c r="AB14" s="31">
        <f t="shared" si="13"/>
        <v>1</v>
      </c>
      <c r="AC14" s="31">
        <f t="shared" si="14"/>
        <v>0</v>
      </c>
      <c r="AD14" s="31">
        <f t="shared" si="15"/>
        <v>0</v>
      </c>
      <c r="AE14" s="31">
        <f t="shared" si="2"/>
        <v>0</v>
      </c>
      <c r="AF14" s="31">
        <f t="shared" si="16"/>
        <v>0</v>
      </c>
      <c r="AG14" s="31">
        <f t="shared" si="17"/>
        <v>0</v>
      </c>
      <c r="AH14" s="31">
        <f t="shared" si="18"/>
        <v>0</v>
      </c>
    </row>
    <row r="15" spans="1:34" s="17" customFormat="1" x14ac:dyDescent="0.25">
      <c r="A15" s="9" t="s">
        <v>9</v>
      </c>
      <c r="B15" s="15" t="s">
        <v>5</v>
      </c>
      <c r="C15" s="72">
        <v>99</v>
      </c>
      <c r="D15" s="97">
        <v>21</v>
      </c>
      <c r="E15" s="10">
        <v>36</v>
      </c>
      <c r="F15" s="14">
        <v>0.1389</v>
      </c>
      <c r="G15" s="64">
        <v>0.19689119170984457</v>
      </c>
      <c r="H15" s="64">
        <v>0.86842105263157898</v>
      </c>
      <c r="I15" s="16">
        <v>4</v>
      </c>
      <c r="J15" s="14">
        <f>(0-0)/8</f>
        <v>0</v>
      </c>
      <c r="K15" s="14">
        <f>8/8</f>
        <v>1</v>
      </c>
      <c r="L15" s="16">
        <v>3</v>
      </c>
      <c r="M15" s="15">
        <f t="shared" si="0"/>
        <v>5</v>
      </c>
      <c r="N15" s="15">
        <f t="shared" si="1"/>
        <v>1</v>
      </c>
      <c r="O15" s="15">
        <f t="shared" si="3"/>
        <v>4</v>
      </c>
      <c r="P15" s="39"/>
      <c r="Q15" s="30">
        <f t="shared" si="4"/>
        <v>0</v>
      </c>
      <c r="R15" s="30">
        <f t="shared" si="5"/>
        <v>1</v>
      </c>
      <c r="S15" s="30">
        <f t="shared" si="6"/>
        <v>1</v>
      </c>
      <c r="T15" s="30">
        <f t="shared" si="7"/>
        <v>1</v>
      </c>
      <c r="U15" s="30">
        <f t="shared" si="8"/>
        <v>0</v>
      </c>
      <c r="V15" s="30">
        <f t="shared" si="9"/>
        <v>1</v>
      </c>
      <c r="W15" s="30">
        <f t="shared" si="10"/>
        <v>1</v>
      </c>
      <c r="X15" s="30">
        <f t="shared" si="11"/>
        <v>0</v>
      </c>
      <c r="Y15" s="43"/>
      <c r="Z15" s="43"/>
      <c r="AA15" s="31">
        <f t="shared" si="12"/>
        <v>0</v>
      </c>
      <c r="AB15" s="31">
        <f t="shared" si="13"/>
        <v>0</v>
      </c>
      <c r="AC15" s="31">
        <f t="shared" si="14"/>
        <v>0</v>
      </c>
      <c r="AD15" s="31">
        <f t="shared" si="15"/>
        <v>0</v>
      </c>
      <c r="AE15" s="31">
        <f t="shared" si="2"/>
        <v>0</v>
      </c>
      <c r="AF15" s="31">
        <f t="shared" si="16"/>
        <v>0</v>
      </c>
      <c r="AG15" s="31">
        <f t="shared" si="17"/>
        <v>0</v>
      </c>
      <c r="AH15" s="31">
        <f t="shared" si="18"/>
        <v>1</v>
      </c>
    </row>
    <row r="16" spans="1:34" s="17" customFormat="1" x14ac:dyDescent="0.25">
      <c r="A16" s="9" t="s">
        <v>11</v>
      </c>
      <c r="B16" s="15" t="s">
        <v>5</v>
      </c>
      <c r="C16" s="72">
        <v>113</v>
      </c>
      <c r="D16" s="96">
        <v>11.75</v>
      </c>
      <c r="E16" s="10">
        <v>26</v>
      </c>
      <c r="F16" s="14">
        <v>0</v>
      </c>
      <c r="G16" s="64">
        <v>0.35294117647058826</v>
      </c>
      <c r="H16" s="64">
        <v>0.8</v>
      </c>
      <c r="I16" s="16">
        <v>4</v>
      </c>
      <c r="J16" s="14">
        <f>(2-1)/14</f>
        <v>7.1428571428571425E-2</v>
      </c>
      <c r="K16" s="14">
        <f>12/14</f>
        <v>0.8571428571428571</v>
      </c>
      <c r="L16" s="16">
        <v>4.4000000000000004</v>
      </c>
      <c r="M16" s="15">
        <f t="shared" si="0"/>
        <v>2</v>
      </c>
      <c r="N16" s="15">
        <f t="shared" si="1"/>
        <v>3</v>
      </c>
      <c r="O16" s="15">
        <f t="shared" si="3"/>
        <v>-1</v>
      </c>
      <c r="P16" s="39"/>
      <c r="Q16" s="30">
        <f t="shared" si="4"/>
        <v>0</v>
      </c>
      <c r="R16" s="30">
        <f t="shared" si="5"/>
        <v>0</v>
      </c>
      <c r="S16" s="30">
        <f t="shared" si="6"/>
        <v>0</v>
      </c>
      <c r="T16" s="30">
        <f t="shared" si="7"/>
        <v>0</v>
      </c>
      <c r="U16" s="30">
        <f t="shared" si="8"/>
        <v>0</v>
      </c>
      <c r="V16" s="30">
        <f t="shared" si="9"/>
        <v>1</v>
      </c>
      <c r="W16" s="30">
        <f t="shared" si="10"/>
        <v>1</v>
      </c>
      <c r="X16" s="30">
        <f t="shared" si="11"/>
        <v>0</v>
      </c>
      <c r="Y16" s="43"/>
      <c r="Z16" s="43"/>
      <c r="AA16" s="31">
        <f t="shared" si="12"/>
        <v>1</v>
      </c>
      <c r="AB16" s="31">
        <f t="shared" si="13"/>
        <v>1</v>
      </c>
      <c r="AC16" s="31">
        <f t="shared" si="14"/>
        <v>0</v>
      </c>
      <c r="AD16" s="31">
        <f t="shared" si="15"/>
        <v>0</v>
      </c>
      <c r="AE16" s="31">
        <f t="shared" si="2"/>
        <v>0</v>
      </c>
      <c r="AF16" s="31">
        <f t="shared" si="16"/>
        <v>0</v>
      </c>
      <c r="AG16" s="31">
        <f t="shared" si="17"/>
        <v>0</v>
      </c>
      <c r="AH16" s="31">
        <f t="shared" si="18"/>
        <v>1</v>
      </c>
    </row>
    <row r="17" spans="1:34" s="17" customFormat="1" x14ac:dyDescent="0.25">
      <c r="A17" s="9" t="s">
        <v>8</v>
      </c>
      <c r="B17" s="15" t="s">
        <v>5</v>
      </c>
      <c r="C17" s="72">
        <v>129</v>
      </c>
      <c r="D17" s="96">
        <v>20</v>
      </c>
      <c r="E17" s="10">
        <v>50</v>
      </c>
      <c r="F17" s="14">
        <v>0.08</v>
      </c>
      <c r="G17" s="64">
        <v>0.44966442953020136</v>
      </c>
      <c r="H17" s="64">
        <v>0.70149253731343286</v>
      </c>
      <c r="I17" s="16">
        <v>4</v>
      </c>
      <c r="J17" s="14">
        <f>(5-0)/25</f>
        <v>0.2</v>
      </c>
      <c r="K17" s="14">
        <f>20/25</f>
        <v>0.8</v>
      </c>
      <c r="L17" s="16">
        <v>7.4</v>
      </c>
      <c r="M17" s="15">
        <f t="shared" si="0"/>
        <v>2</v>
      </c>
      <c r="N17" s="15">
        <f t="shared" si="1"/>
        <v>0</v>
      </c>
      <c r="O17" s="15">
        <f t="shared" si="3"/>
        <v>2</v>
      </c>
      <c r="P17" s="39"/>
      <c r="Q17" s="30">
        <f t="shared" si="4"/>
        <v>0</v>
      </c>
      <c r="R17" s="30">
        <f t="shared" si="5"/>
        <v>0</v>
      </c>
      <c r="S17" s="30">
        <f t="shared" si="6"/>
        <v>0</v>
      </c>
      <c r="T17" s="30">
        <f t="shared" si="7"/>
        <v>0</v>
      </c>
      <c r="U17" s="30">
        <f t="shared" si="8"/>
        <v>0</v>
      </c>
      <c r="V17" s="30">
        <f t="shared" si="9"/>
        <v>1</v>
      </c>
      <c r="W17" s="30">
        <f t="shared" si="10"/>
        <v>1</v>
      </c>
      <c r="X17" s="30">
        <f t="shared" si="11"/>
        <v>0</v>
      </c>
      <c r="Y17" s="43"/>
      <c r="Z17" s="43"/>
      <c r="AA17" s="31">
        <f t="shared" si="12"/>
        <v>0</v>
      </c>
      <c r="AB17" s="31">
        <f t="shared" si="13"/>
        <v>0</v>
      </c>
      <c r="AC17" s="31">
        <f t="shared" si="14"/>
        <v>0</v>
      </c>
      <c r="AD17" s="31">
        <f t="shared" si="15"/>
        <v>0</v>
      </c>
      <c r="AE17" s="31">
        <f t="shared" si="2"/>
        <v>0</v>
      </c>
      <c r="AF17" s="31">
        <f t="shared" si="16"/>
        <v>0</v>
      </c>
      <c r="AG17" s="31">
        <f t="shared" si="17"/>
        <v>0</v>
      </c>
      <c r="AH17" s="31">
        <f t="shared" si="18"/>
        <v>0</v>
      </c>
    </row>
    <row r="18" spans="1:34" s="17" customFormat="1" x14ac:dyDescent="0.25">
      <c r="A18" s="9" t="s">
        <v>13</v>
      </c>
      <c r="B18" s="15" t="s">
        <v>5</v>
      </c>
      <c r="C18" s="72">
        <v>138</v>
      </c>
      <c r="D18" s="96">
        <v>15</v>
      </c>
      <c r="E18" s="10">
        <v>25</v>
      </c>
      <c r="F18" s="14">
        <v>6.13E-2</v>
      </c>
      <c r="G18" s="64">
        <v>0.25</v>
      </c>
      <c r="H18" s="64">
        <v>0.90476190476190477</v>
      </c>
      <c r="I18" s="16">
        <v>5</v>
      </c>
      <c r="J18" s="14">
        <f>(6-2)/13</f>
        <v>0.30769230769230771</v>
      </c>
      <c r="K18" s="14">
        <f>7/13</f>
        <v>0.53846153846153844</v>
      </c>
      <c r="L18" s="16">
        <v>4.5999999999999996</v>
      </c>
      <c r="M18" s="15">
        <f t="shared" si="0"/>
        <v>1</v>
      </c>
      <c r="N18" s="15">
        <f t="shared" si="1"/>
        <v>3</v>
      </c>
      <c r="O18" s="15">
        <f t="shared" si="3"/>
        <v>-2</v>
      </c>
      <c r="P18" s="39"/>
      <c r="Q18" s="30">
        <f t="shared" si="4"/>
        <v>0</v>
      </c>
      <c r="R18" s="30">
        <f t="shared" si="5"/>
        <v>0</v>
      </c>
      <c r="S18" s="30">
        <f t="shared" si="6"/>
        <v>0</v>
      </c>
      <c r="T18" s="30">
        <f t="shared" si="7"/>
        <v>1</v>
      </c>
      <c r="U18" s="30">
        <f t="shared" si="8"/>
        <v>0</v>
      </c>
      <c r="V18" s="30">
        <f t="shared" si="9"/>
        <v>0</v>
      </c>
      <c r="W18" s="30">
        <f t="shared" si="10"/>
        <v>0</v>
      </c>
      <c r="X18" s="30">
        <f t="shared" si="11"/>
        <v>0</v>
      </c>
      <c r="Y18" s="43"/>
      <c r="Z18" s="43"/>
      <c r="AA18" s="31">
        <f t="shared" si="12"/>
        <v>1</v>
      </c>
      <c r="AB18" s="31">
        <f t="shared" si="13"/>
        <v>0</v>
      </c>
      <c r="AC18" s="31">
        <f t="shared" si="14"/>
        <v>0</v>
      </c>
      <c r="AD18" s="31">
        <f t="shared" si="15"/>
        <v>0</v>
      </c>
      <c r="AE18" s="31">
        <f t="shared" si="2"/>
        <v>1</v>
      </c>
      <c r="AF18" s="31">
        <f t="shared" si="16"/>
        <v>0</v>
      </c>
      <c r="AG18" s="31">
        <f t="shared" si="17"/>
        <v>0</v>
      </c>
      <c r="AH18" s="31">
        <f t="shared" si="18"/>
        <v>1</v>
      </c>
    </row>
    <row r="19" spans="1:34" s="17" customFormat="1" x14ac:dyDescent="0.25">
      <c r="A19" s="9" t="s">
        <v>17</v>
      </c>
      <c r="B19" s="15" t="s">
        <v>18</v>
      </c>
      <c r="C19" s="72">
        <v>348</v>
      </c>
      <c r="D19" s="96">
        <v>68.75</v>
      </c>
      <c r="E19" s="10">
        <v>58</v>
      </c>
      <c r="F19" s="14">
        <v>1.72E-2</v>
      </c>
      <c r="G19" s="64">
        <v>4.2584434654919234E-2</v>
      </c>
      <c r="H19" s="64">
        <v>0.82758620689655171</v>
      </c>
      <c r="I19" s="16">
        <v>4.3</v>
      </c>
      <c r="J19" s="14">
        <f>(10-1)/50</f>
        <v>0.18</v>
      </c>
      <c r="K19" s="14">
        <f>40/50</f>
        <v>0.8</v>
      </c>
      <c r="L19" s="16">
        <v>12.4</v>
      </c>
      <c r="M19" s="15">
        <f t="shared" si="0"/>
        <v>5</v>
      </c>
      <c r="N19" s="15">
        <f t="shared" si="1"/>
        <v>2</v>
      </c>
      <c r="O19" s="15">
        <f t="shared" si="3"/>
        <v>3</v>
      </c>
      <c r="P19" s="39"/>
      <c r="Q19" s="30">
        <f t="shared" si="4"/>
        <v>0</v>
      </c>
      <c r="R19" s="30">
        <f t="shared" si="5"/>
        <v>0</v>
      </c>
      <c r="S19" s="30">
        <f t="shared" si="6"/>
        <v>1</v>
      </c>
      <c r="T19" s="30">
        <f t="shared" si="7"/>
        <v>1</v>
      </c>
      <c r="U19" s="30">
        <f t="shared" si="8"/>
        <v>0</v>
      </c>
      <c r="V19" s="30">
        <f t="shared" si="9"/>
        <v>1</v>
      </c>
      <c r="W19" s="30">
        <f t="shared" si="10"/>
        <v>1</v>
      </c>
      <c r="X19" s="30">
        <f t="shared" si="11"/>
        <v>1</v>
      </c>
      <c r="Y19" s="43"/>
      <c r="Z19" s="43"/>
      <c r="AA19" s="31">
        <f t="shared" si="12"/>
        <v>0</v>
      </c>
      <c r="AB19" s="31">
        <f t="shared" si="13"/>
        <v>1</v>
      </c>
      <c r="AC19" s="31">
        <f t="shared" si="14"/>
        <v>0</v>
      </c>
      <c r="AD19" s="31">
        <f t="shared" si="15"/>
        <v>0</v>
      </c>
      <c r="AE19" s="31">
        <f t="shared" si="2"/>
        <v>1</v>
      </c>
      <c r="AF19" s="31">
        <f t="shared" si="16"/>
        <v>0</v>
      </c>
      <c r="AG19" s="31">
        <f t="shared" si="17"/>
        <v>0</v>
      </c>
      <c r="AH19" s="31">
        <f t="shared" si="18"/>
        <v>0</v>
      </c>
    </row>
    <row r="20" spans="1:34" s="17" customFormat="1" x14ac:dyDescent="0.25">
      <c r="A20" s="9" t="s">
        <v>19</v>
      </c>
      <c r="B20" s="15" t="s">
        <v>18</v>
      </c>
      <c r="C20" s="72">
        <v>53</v>
      </c>
      <c r="D20" s="96">
        <v>16</v>
      </c>
      <c r="E20" s="10">
        <v>28</v>
      </c>
      <c r="F20" s="14">
        <v>7.1400000000000005E-2</v>
      </c>
      <c r="G20" s="64">
        <v>8.531746031746032E-2</v>
      </c>
      <c r="H20" s="64">
        <v>0.53488372093023251</v>
      </c>
      <c r="I20" s="16">
        <v>5</v>
      </c>
      <c r="J20" s="14">
        <f>(10-0)/21</f>
        <v>0.47619047619047616</v>
      </c>
      <c r="K20" s="14">
        <f>11/21</f>
        <v>0.52380952380952384</v>
      </c>
      <c r="L20" s="16">
        <v>4.2</v>
      </c>
      <c r="M20" s="15">
        <f t="shared" si="0"/>
        <v>1</v>
      </c>
      <c r="N20" s="15">
        <f t="shared" si="1"/>
        <v>5</v>
      </c>
      <c r="O20" s="15">
        <f t="shared" si="3"/>
        <v>-4</v>
      </c>
      <c r="P20" s="39"/>
      <c r="Q20" s="30">
        <f t="shared" si="4"/>
        <v>0</v>
      </c>
      <c r="R20" s="30">
        <f t="shared" si="5"/>
        <v>0</v>
      </c>
      <c r="S20" s="30">
        <f t="shared" si="6"/>
        <v>1</v>
      </c>
      <c r="T20" s="30">
        <f t="shared" si="7"/>
        <v>0</v>
      </c>
      <c r="U20" s="30">
        <f t="shared" si="8"/>
        <v>0</v>
      </c>
      <c r="V20" s="30">
        <f t="shared" si="9"/>
        <v>0</v>
      </c>
      <c r="W20" s="30">
        <f t="shared" si="10"/>
        <v>0</v>
      </c>
      <c r="X20" s="30">
        <f t="shared" si="11"/>
        <v>0</v>
      </c>
      <c r="Y20" s="43"/>
      <c r="Z20" s="43"/>
      <c r="AA20" s="31">
        <f t="shared" si="12"/>
        <v>1</v>
      </c>
      <c r="AB20" s="31">
        <f t="shared" si="13"/>
        <v>0</v>
      </c>
      <c r="AC20" s="31">
        <f t="shared" si="14"/>
        <v>0</v>
      </c>
      <c r="AD20" s="31">
        <f t="shared" si="15"/>
        <v>0</v>
      </c>
      <c r="AE20" s="31">
        <f t="shared" si="2"/>
        <v>1</v>
      </c>
      <c r="AF20" s="31">
        <f t="shared" si="16"/>
        <v>1</v>
      </c>
      <c r="AG20" s="31">
        <f t="shared" si="17"/>
        <v>1</v>
      </c>
      <c r="AH20" s="31">
        <f t="shared" si="18"/>
        <v>1</v>
      </c>
    </row>
    <row r="21" spans="1:34" x14ac:dyDescent="0.25">
      <c r="A21" s="9" t="s">
        <v>29</v>
      </c>
      <c r="B21" s="15" t="s">
        <v>21</v>
      </c>
      <c r="C21" s="72">
        <v>336</v>
      </c>
      <c r="D21" s="96">
        <f>21+(5*0.5)</f>
        <v>23.5</v>
      </c>
      <c r="E21" s="11">
        <v>126</v>
      </c>
      <c r="F21" s="14">
        <v>0.15870000000000001</v>
      </c>
      <c r="G21" s="64">
        <v>0.36503856041131105</v>
      </c>
      <c r="H21" s="64">
        <v>0.5140845070422535</v>
      </c>
      <c r="I21" s="16">
        <v>4</v>
      </c>
      <c r="J21" s="14">
        <f>(46-22)/69</f>
        <v>0.34782608695652173</v>
      </c>
      <c r="K21" s="14">
        <f>23/69</f>
        <v>0.33333333333333331</v>
      </c>
      <c r="L21" s="16">
        <v>13</v>
      </c>
      <c r="M21" s="15">
        <f t="shared" si="0"/>
        <v>3</v>
      </c>
      <c r="N21" s="15">
        <f t="shared" si="1"/>
        <v>1</v>
      </c>
      <c r="O21" s="15">
        <f t="shared" si="3"/>
        <v>2</v>
      </c>
      <c r="P21" s="39"/>
      <c r="Q21" s="30">
        <f t="shared" si="4"/>
        <v>1</v>
      </c>
      <c r="R21" s="30">
        <f t="shared" si="5"/>
        <v>1</v>
      </c>
      <c r="S21" s="30">
        <f t="shared" si="6"/>
        <v>0</v>
      </c>
      <c r="T21" s="30">
        <f t="shared" si="7"/>
        <v>0</v>
      </c>
      <c r="U21" s="30">
        <f t="shared" si="8"/>
        <v>0</v>
      </c>
      <c r="V21" s="30">
        <f t="shared" si="9"/>
        <v>0</v>
      </c>
      <c r="W21" s="30">
        <f t="shared" si="10"/>
        <v>0</v>
      </c>
      <c r="X21" s="30">
        <f t="shared" si="11"/>
        <v>1</v>
      </c>
      <c r="Y21" s="43"/>
      <c r="Z21" s="43"/>
      <c r="AA21" s="31">
        <f t="shared" si="12"/>
        <v>0</v>
      </c>
      <c r="AB21" s="31">
        <f t="shared" si="13"/>
        <v>0</v>
      </c>
      <c r="AC21" s="31">
        <f t="shared" si="14"/>
        <v>0</v>
      </c>
      <c r="AD21" s="31">
        <f t="shared" si="15"/>
        <v>0</v>
      </c>
      <c r="AE21" s="31">
        <f t="shared" si="2"/>
        <v>0</v>
      </c>
      <c r="AF21" s="31">
        <f t="shared" si="16"/>
        <v>0</v>
      </c>
      <c r="AG21" s="31">
        <f t="shared" si="17"/>
        <v>1</v>
      </c>
      <c r="AH21" s="31">
        <f t="shared" si="18"/>
        <v>0</v>
      </c>
    </row>
    <row r="22" spans="1:34" x14ac:dyDescent="0.25">
      <c r="A22" s="9" t="s">
        <v>24</v>
      </c>
      <c r="B22" s="15" t="s">
        <v>21</v>
      </c>
      <c r="C22" s="72">
        <v>342</v>
      </c>
      <c r="D22" s="96">
        <v>19</v>
      </c>
      <c r="E22" s="11">
        <v>29</v>
      </c>
      <c r="F22" s="14">
        <v>0.10340000000000001</v>
      </c>
      <c r="G22" s="64">
        <v>0.1254125412541254</v>
      </c>
      <c r="H22" s="64">
        <v>0.81578947368421051</v>
      </c>
      <c r="I22" s="16">
        <v>5.7</v>
      </c>
      <c r="J22" s="14">
        <f>(8-3)/16</f>
        <v>0.3125</v>
      </c>
      <c r="K22" s="14">
        <f>8/16</f>
        <v>0.5</v>
      </c>
      <c r="L22" s="16">
        <v>3.8</v>
      </c>
      <c r="M22" s="15">
        <f t="shared" si="0"/>
        <v>1</v>
      </c>
      <c r="N22" s="15">
        <f t="shared" si="1"/>
        <v>3</v>
      </c>
      <c r="O22" s="15">
        <f t="shared" si="3"/>
        <v>-2</v>
      </c>
      <c r="P22" s="39"/>
      <c r="Q22" s="30">
        <f t="shared" si="4"/>
        <v>0</v>
      </c>
      <c r="R22" s="30">
        <f t="shared" si="5"/>
        <v>0</v>
      </c>
      <c r="S22" s="30">
        <f t="shared" si="6"/>
        <v>1</v>
      </c>
      <c r="T22" s="30">
        <f t="shared" si="7"/>
        <v>0</v>
      </c>
      <c r="U22" s="30">
        <f t="shared" si="8"/>
        <v>0</v>
      </c>
      <c r="V22" s="30">
        <f t="shared" si="9"/>
        <v>0</v>
      </c>
      <c r="W22" s="30">
        <f t="shared" si="10"/>
        <v>0</v>
      </c>
      <c r="X22" s="30">
        <f t="shared" si="11"/>
        <v>0</v>
      </c>
      <c r="Y22" s="43"/>
      <c r="Z22" s="43"/>
      <c r="AA22" s="31">
        <f t="shared" si="12"/>
        <v>0</v>
      </c>
      <c r="AB22" s="31">
        <f t="shared" si="13"/>
        <v>0</v>
      </c>
      <c r="AC22" s="31">
        <f t="shared" si="14"/>
        <v>0</v>
      </c>
      <c r="AD22" s="31">
        <f t="shared" si="15"/>
        <v>0</v>
      </c>
      <c r="AE22" s="31">
        <f t="shared" si="2"/>
        <v>1</v>
      </c>
      <c r="AF22" s="31">
        <f t="shared" si="16"/>
        <v>0</v>
      </c>
      <c r="AG22" s="31">
        <f t="shared" si="17"/>
        <v>1</v>
      </c>
      <c r="AH22" s="31">
        <f t="shared" si="18"/>
        <v>1</v>
      </c>
    </row>
    <row r="23" spans="1:34" x14ac:dyDescent="0.25">
      <c r="A23" s="34" t="s">
        <v>104</v>
      </c>
      <c r="B23" s="15" t="s">
        <v>21</v>
      </c>
      <c r="C23" s="72" t="s">
        <v>105</v>
      </c>
      <c r="D23" s="96">
        <v>36</v>
      </c>
      <c r="E23" s="11">
        <f>34+50</f>
        <v>84</v>
      </c>
      <c r="F23" s="14">
        <v>8.3320000000000005E-2</v>
      </c>
      <c r="G23" s="64">
        <f>(37+51)/(118+272)</f>
        <v>0.22564102564102564</v>
      </c>
      <c r="H23" s="64">
        <f>(22+41)/(37+51)</f>
        <v>0.71590909090909094</v>
      </c>
      <c r="I23" s="16">
        <v>4</v>
      </c>
      <c r="J23" s="14">
        <f>(9+4)/(18+20)</f>
        <v>0.34210526315789475</v>
      </c>
      <c r="K23" s="14">
        <f>(7+13)/(18+20)</f>
        <v>0.52631578947368418</v>
      </c>
      <c r="L23" s="16">
        <f>3.4+7.4</f>
        <v>10.8</v>
      </c>
      <c r="M23" s="15">
        <f t="shared" si="0"/>
        <v>1</v>
      </c>
      <c r="N23" s="15">
        <f t="shared" si="1"/>
        <v>1</v>
      </c>
      <c r="O23" s="15">
        <f t="shared" si="3"/>
        <v>0</v>
      </c>
      <c r="P23" s="39"/>
      <c r="Q23" s="30">
        <f t="shared" si="4"/>
        <v>1</v>
      </c>
      <c r="R23" s="30">
        <f t="shared" si="5"/>
        <v>0</v>
      </c>
      <c r="S23" s="30">
        <f t="shared" si="6"/>
        <v>0</v>
      </c>
      <c r="T23" s="30">
        <f t="shared" si="7"/>
        <v>0</v>
      </c>
      <c r="U23" s="30">
        <f t="shared" si="8"/>
        <v>0</v>
      </c>
      <c r="V23" s="30">
        <f t="shared" si="9"/>
        <v>0</v>
      </c>
      <c r="W23" s="30">
        <f t="shared" si="10"/>
        <v>0</v>
      </c>
      <c r="X23" s="30">
        <f t="shared" si="11"/>
        <v>0</v>
      </c>
      <c r="Y23" s="43"/>
      <c r="Z23" s="43"/>
      <c r="AA23" s="31">
        <f t="shared" si="12"/>
        <v>0</v>
      </c>
      <c r="AB23" s="31">
        <f t="shared" si="13"/>
        <v>0</v>
      </c>
      <c r="AC23" s="31">
        <f t="shared" si="14"/>
        <v>0</v>
      </c>
      <c r="AD23" s="31">
        <f t="shared" si="15"/>
        <v>0</v>
      </c>
      <c r="AE23" s="31">
        <f t="shared" si="2"/>
        <v>0</v>
      </c>
      <c r="AF23" s="31">
        <f t="shared" si="16"/>
        <v>0</v>
      </c>
      <c r="AG23" s="31">
        <f t="shared" si="17"/>
        <v>1</v>
      </c>
      <c r="AH23" s="31">
        <f t="shared" si="18"/>
        <v>0</v>
      </c>
    </row>
    <row r="24" spans="1:34" x14ac:dyDescent="0.25">
      <c r="A24" s="9" t="s">
        <v>20</v>
      </c>
      <c r="B24" s="15" t="s">
        <v>21</v>
      </c>
      <c r="C24" s="72">
        <v>350</v>
      </c>
      <c r="D24" s="96">
        <v>43</v>
      </c>
      <c r="E24" s="10">
        <v>249</v>
      </c>
      <c r="F24" s="14">
        <v>5.2200000000000003E-2</v>
      </c>
      <c r="G24" s="64">
        <v>0.1537645811240721</v>
      </c>
      <c r="H24" s="64">
        <v>0.9517241379310345</v>
      </c>
      <c r="I24" s="16">
        <v>4.7</v>
      </c>
      <c r="J24" s="14">
        <f>(41-2)/160</f>
        <v>0.24374999999999999</v>
      </c>
      <c r="K24" s="14">
        <f>119/160</f>
        <v>0.74375000000000002</v>
      </c>
      <c r="L24" s="16">
        <v>44</v>
      </c>
      <c r="M24" s="15">
        <f t="shared" si="0"/>
        <v>5</v>
      </c>
      <c r="N24" s="15">
        <f t="shared" si="1"/>
        <v>1</v>
      </c>
      <c r="O24" s="15">
        <f t="shared" si="3"/>
        <v>4</v>
      </c>
      <c r="P24" s="39"/>
      <c r="Q24" s="30">
        <f t="shared" si="4"/>
        <v>1</v>
      </c>
      <c r="R24" s="30">
        <f t="shared" si="5"/>
        <v>0</v>
      </c>
      <c r="S24" s="30">
        <f t="shared" si="6"/>
        <v>1</v>
      </c>
      <c r="T24" s="30">
        <f t="shared" si="7"/>
        <v>1</v>
      </c>
      <c r="U24" s="30">
        <f t="shared" si="8"/>
        <v>0</v>
      </c>
      <c r="V24" s="30">
        <f t="shared" si="9"/>
        <v>0</v>
      </c>
      <c r="W24" s="30">
        <f t="shared" si="10"/>
        <v>1</v>
      </c>
      <c r="X24" s="30">
        <f t="shared" si="11"/>
        <v>1</v>
      </c>
      <c r="Y24" s="43"/>
      <c r="Z24" s="43"/>
      <c r="AA24" s="31">
        <f t="shared" si="12"/>
        <v>0</v>
      </c>
      <c r="AB24" s="31">
        <f t="shared" si="13"/>
        <v>0</v>
      </c>
      <c r="AC24" s="31">
        <f t="shared" si="14"/>
        <v>0</v>
      </c>
      <c r="AD24" s="31">
        <f t="shared" si="15"/>
        <v>0</v>
      </c>
      <c r="AE24" s="31">
        <f t="shared" si="2"/>
        <v>1</v>
      </c>
      <c r="AF24" s="31">
        <f t="shared" si="16"/>
        <v>0</v>
      </c>
      <c r="AG24" s="31">
        <f t="shared" si="17"/>
        <v>0</v>
      </c>
      <c r="AH24" s="31">
        <f t="shared" si="18"/>
        <v>0</v>
      </c>
    </row>
    <row r="25" spans="1:34" x14ac:dyDescent="0.25">
      <c r="A25" s="76" t="s">
        <v>106</v>
      </c>
      <c r="B25" s="15" t="s">
        <v>21</v>
      </c>
      <c r="C25" s="72" t="s">
        <v>107</v>
      </c>
      <c r="D25" s="96">
        <v>29.71</v>
      </c>
      <c r="E25" s="10">
        <f>33+73</f>
        <v>106</v>
      </c>
      <c r="F25" s="14">
        <f>(0.0959*73+0.1212*33)/E25</f>
        <v>0.10377641509433962</v>
      </c>
      <c r="G25" s="64">
        <f>(38+205)/(599+2330)</f>
        <v>8.2963468760669165E-2</v>
      </c>
      <c r="H25" s="64">
        <f>(33+153)/(38+205)</f>
        <v>0.76543209876543206</v>
      </c>
      <c r="I25" s="16">
        <v>4.7</v>
      </c>
      <c r="J25" s="14">
        <f>(6+12)/(21+40)</f>
        <v>0.29508196721311475</v>
      </c>
      <c r="K25" s="14">
        <f>(12+28)/(21+40)</f>
        <v>0.65573770491803274</v>
      </c>
      <c r="L25" s="16">
        <f>6.4+13.4</f>
        <v>19.8</v>
      </c>
      <c r="M25" s="15">
        <f t="shared" si="0"/>
        <v>3</v>
      </c>
      <c r="N25" s="15">
        <f t="shared" si="1"/>
        <v>1</v>
      </c>
      <c r="O25" s="15">
        <f t="shared" si="3"/>
        <v>2</v>
      </c>
      <c r="P25" s="39"/>
      <c r="Q25" s="30">
        <f t="shared" si="4"/>
        <v>1</v>
      </c>
      <c r="R25" s="30">
        <f t="shared" si="5"/>
        <v>0</v>
      </c>
      <c r="S25" s="30">
        <f t="shared" si="6"/>
        <v>1</v>
      </c>
      <c r="T25" s="30">
        <f t="shared" si="7"/>
        <v>0</v>
      </c>
      <c r="U25" s="30">
        <f t="shared" si="8"/>
        <v>0</v>
      </c>
      <c r="V25" s="30">
        <f t="shared" si="9"/>
        <v>0</v>
      </c>
      <c r="W25" s="30">
        <f t="shared" si="10"/>
        <v>0</v>
      </c>
      <c r="X25" s="30">
        <f t="shared" si="11"/>
        <v>1</v>
      </c>
      <c r="Y25" s="43"/>
      <c r="Z25" s="43"/>
      <c r="AA25" s="31">
        <f t="shared" si="12"/>
        <v>0</v>
      </c>
      <c r="AB25" s="31">
        <f t="shared" si="13"/>
        <v>0</v>
      </c>
      <c r="AC25" s="31">
        <f t="shared" si="14"/>
        <v>0</v>
      </c>
      <c r="AD25" s="31">
        <f t="shared" si="15"/>
        <v>0</v>
      </c>
      <c r="AE25" s="31">
        <f t="shared" si="2"/>
        <v>1</v>
      </c>
      <c r="AF25" s="31">
        <f t="shared" si="16"/>
        <v>0</v>
      </c>
      <c r="AG25" s="31">
        <f t="shared" si="17"/>
        <v>0</v>
      </c>
      <c r="AH25" s="31">
        <f t="shared" si="18"/>
        <v>0</v>
      </c>
    </row>
    <row r="26" spans="1:34" ht="15" customHeight="1" x14ac:dyDescent="0.25">
      <c r="A26" s="9" t="s">
        <v>27</v>
      </c>
      <c r="B26" s="15" t="s">
        <v>21</v>
      </c>
      <c r="C26" s="72">
        <v>60</v>
      </c>
      <c r="D26" s="96">
        <f>45+(3*0.5)+2</f>
        <v>48.5</v>
      </c>
      <c r="E26" s="10">
        <v>128</v>
      </c>
      <c r="F26" s="14">
        <v>8.5900000000000004E-2</v>
      </c>
      <c r="G26" s="64">
        <v>0.21939586645468998</v>
      </c>
      <c r="H26" s="64">
        <v>0.60869565217391308</v>
      </c>
      <c r="I26" s="16">
        <v>4</v>
      </c>
      <c r="J26" s="14">
        <f>(29-5)/65</f>
        <v>0.36923076923076925</v>
      </c>
      <c r="K26" s="14">
        <f>36/65</f>
        <v>0.55384615384615388</v>
      </c>
      <c r="L26" s="16">
        <v>13.6</v>
      </c>
      <c r="M26" s="15">
        <f t="shared" si="0"/>
        <v>3</v>
      </c>
      <c r="N26" s="15">
        <f t="shared" si="1"/>
        <v>1</v>
      </c>
      <c r="O26" s="15">
        <f t="shared" si="3"/>
        <v>2</v>
      </c>
      <c r="P26" s="39"/>
      <c r="Q26" s="30">
        <f t="shared" si="4"/>
        <v>1</v>
      </c>
      <c r="R26" s="30">
        <f t="shared" si="5"/>
        <v>0</v>
      </c>
      <c r="S26" s="30">
        <f t="shared" si="6"/>
        <v>1</v>
      </c>
      <c r="T26" s="30">
        <f t="shared" si="7"/>
        <v>0</v>
      </c>
      <c r="U26" s="30">
        <f t="shared" si="8"/>
        <v>0</v>
      </c>
      <c r="V26" s="30">
        <f t="shared" si="9"/>
        <v>0</v>
      </c>
      <c r="W26" s="30">
        <f t="shared" si="10"/>
        <v>0</v>
      </c>
      <c r="X26" s="30">
        <f t="shared" si="11"/>
        <v>1</v>
      </c>
      <c r="Y26" s="43"/>
      <c r="Z26" s="43"/>
      <c r="AA26" s="31">
        <f t="shared" si="12"/>
        <v>0</v>
      </c>
      <c r="AB26" s="31">
        <f t="shared" si="13"/>
        <v>0</v>
      </c>
      <c r="AC26" s="31">
        <f t="shared" si="14"/>
        <v>0</v>
      </c>
      <c r="AD26" s="31">
        <f t="shared" si="15"/>
        <v>0</v>
      </c>
      <c r="AE26" s="31">
        <f t="shared" si="2"/>
        <v>0</v>
      </c>
      <c r="AF26" s="31">
        <f t="shared" si="16"/>
        <v>1</v>
      </c>
      <c r="AG26" s="31">
        <f t="shared" si="17"/>
        <v>0</v>
      </c>
      <c r="AH26" s="31">
        <f t="shared" si="18"/>
        <v>0</v>
      </c>
    </row>
    <row r="27" spans="1:34" x14ac:dyDescent="0.25">
      <c r="A27" s="9" t="s">
        <v>36</v>
      </c>
      <c r="B27" s="15" t="s">
        <v>21</v>
      </c>
      <c r="C27" s="72">
        <v>73</v>
      </c>
      <c r="D27" s="96">
        <f>1+0.5+10+(2*0.5)</f>
        <v>12.5</v>
      </c>
      <c r="E27" s="10">
        <v>29</v>
      </c>
      <c r="F27" s="14">
        <v>3.4500000000000003E-2</v>
      </c>
      <c r="G27" s="64">
        <v>0.45714285714285713</v>
      </c>
      <c r="H27" s="64">
        <v>0.53125</v>
      </c>
      <c r="I27" s="16">
        <v>5</v>
      </c>
      <c r="J27" s="14">
        <f>(6-1)/12</f>
        <v>0.41666666666666669</v>
      </c>
      <c r="K27" s="14">
        <f>6/12</f>
        <v>0.5</v>
      </c>
      <c r="L27" s="16">
        <v>2.2000000000000002</v>
      </c>
      <c r="M27" s="15">
        <f t="shared" si="0"/>
        <v>0</v>
      </c>
      <c r="N27" s="15">
        <f t="shared" si="1"/>
        <v>6</v>
      </c>
      <c r="O27" s="15">
        <f t="shared" si="3"/>
        <v>-6</v>
      </c>
      <c r="P27" s="39"/>
      <c r="Q27" s="30">
        <f t="shared" si="4"/>
        <v>0</v>
      </c>
      <c r="R27" s="30">
        <f t="shared" si="5"/>
        <v>0</v>
      </c>
      <c r="S27" s="30">
        <f t="shared" si="6"/>
        <v>0</v>
      </c>
      <c r="T27" s="30">
        <f t="shared" si="7"/>
        <v>0</v>
      </c>
      <c r="U27" s="30">
        <f t="shared" si="8"/>
        <v>0</v>
      </c>
      <c r="V27" s="30">
        <f t="shared" si="9"/>
        <v>0</v>
      </c>
      <c r="W27" s="30">
        <f t="shared" si="10"/>
        <v>0</v>
      </c>
      <c r="X27" s="30">
        <f t="shared" si="11"/>
        <v>0</v>
      </c>
      <c r="Y27" s="43"/>
      <c r="Z27" s="43"/>
      <c r="AA27" s="31">
        <f t="shared" si="12"/>
        <v>0</v>
      </c>
      <c r="AB27" s="31">
        <f t="shared" si="13"/>
        <v>1</v>
      </c>
      <c r="AC27" s="31">
        <f t="shared" si="14"/>
        <v>1</v>
      </c>
      <c r="AD27" s="31">
        <f t="shared" si="15"/>
        <v>0</v>
      </c>
      <c r="AE27" s="31">
        <f t="shared" si="2"/>
        <v>1</v>
      </c>
      <c r="AF27" s="31">
        <f t="shared" si="16"/>
        <v>1</v>
      </c>
      <c r="AG27" s="31">
        <f t="shared" si="17"/>
        <v>1</v>
      </c>
      <c r="AH27" s="31">
        <f t="shared" si="18"/>
        <v>1</v>
      </c>
    </row>
    <row r="28" spans="1:34" x14ac:dyDescent="0.25">
      <c r="A28" s="9" t="s">
        <v>33</v>
      </c>
      <c r="B28" s="15" t="s">
        <v>21</v>
      </c>
      <c r="C28" s="72">
        <v>74</v>
      </c>
      <c r="D28" s="96">
        <v>15</v>
      </c>
      <c r="E28" s="10">
        <v>25</v>
      </c>
      <c r="F28" s="14">
        <v>0</v>
      </c>
      <c r="G28" s="64">
        <v>0.35643564356435642</v>
      </c>
      <c r="H28" s="64">
        <v>0.52777777777777779</v>
      </c>
      <c r="I28" s="16">
        <v>4.3</v>
      </c>
      <c r="J28" s="14">
        <f>(2-0)/6</f>
        <v>0.33333333333333331</v>
      </c>
      <c r="K28" s="14">
        <f>4/6</f>
        <v>0.66666666666666663</v>
      </c>
      <c r="L28" s="16">
        <v>2.2000000000000002</v>
      </c>
      <c r="M28" s="15">
        <f t="shared" si="0"/>
        <v>0</v>
      </c>
      <c r="N28" s="15">
        <f t="shared" si="1"/>
        <v>4</v>
      </c>
      <c r="O28" s="15">
        <f t="shared" si="3"/>
        <v>-4</v>
      </c>
      <c r="P28" s="39"/>
      <c r="Q28" s="30">
        <f t="shared" si="4"/>
        <v>0</v>
      </c>
      <c r="R28" s="30">
        <f t="shared" si="5"/>
        <v>0</v>
      </c>
      <c r="S28" s="30">
        <f t="shared" si="6"/>
        <v>0</v>
      </c>
      <c r="T28" s="30">
        <f t="shared" si="7"/>
        <v>0</v>
      </c>
      <c r="U28" s="30">
        <f t="shared" si="8"/>
        <v>0</v>
      </c>
      <c r="V28" s="30">
        <f t="shared" si="9"/>
        <v>0</v>
      </c>
      <c r="W28" s="30">
        <f t="shared" si="10"/>
        <v>0</v>
      </c>
      <c r="X28" s="30">
        <f t="shared" si="11"/>
        <v>0</v>
      </c>
      <c r="Y28" s="43"/>
      <c r="Z28" s="43"/>
      <c r="AA28" s="31">
        <f t="shared" si="12"/>
        <v>1</v>
      </c>
      <c r="AB28" s="31">
        <f t="shared" si="13"/>
        <v>1</v>
      </c>
      <c r="AC28" s="31">
        <f t="shared" si="14"/>
        <v>0</v>
      </c>
      <c r="AD28" s="31">
        <f t="shared" si="15"/>
        <v>0</v>
      </c>
      <c r="AE28" s="31">
        <f t="shared" si="2"/>
        <v>1</v>
      </c>
      <c r="AF28" s="31">
        <f t="shared" si="16"/>
        <v>0</v>
      </c>
      <c r="AG28" s="31">
        <f t="shared" si="17"/>
        <v>0</v>
      </c>
      <c r="AH28" s="31">
        <f t="shared" si="18"/>
        <v>1</v>
      </c>
    </row>
    <row r="29" spans="1:34" x14ac:dyDescent="0.25">
      <c r="A29" s="18" t="s">
        <v>37</v>
      </c>
      <c r="B29" s="15" t="s">
        <v>21</v>
      </c>
      <c r="C29" s="72">
        <v>75</v>
      </c>
      <c r="D29" s="96">
        <f>26+(8*0.5)</f>
        <v>30</v>
      </c>
      <c r="E29" s="10">
        <v>5</v>
      </c>
      <c r="F29" s="14">
        <v>0</v>
      </c>
      <c r="G29" s="64">
        <v>0.46666666666666667</v>
      </c>
      <c r="H29" s="64">
        <v>0.2857142857142857</v>
      </c>
      <c r="I29" s="16">
        <v>5.3</v>
      </c>
      <c r="J29" s="14">
        <f>(4-2)/5</f>
        <v>0.4</v>
      </c>
      <c r="K29" s="14">
        <f>1/5</f>
        <v>0.2</v>
      </c>
      <c r="L29" s="16">
        <v>0.6</v>
      </c>
      <c r="M29" s="15">
        <f t="shared" si="0"/>
        <v>0</v>
      </c>
      <c r="N29" s="15">
        <f t="shared" si="1"/>
        <v>8</v>
      </c>
      <c r="O29" s="15">
        <f t="shared" si="3"/>
        <v>-8</v>
      </c>
      <c r="P29" s="39"/>
      <c r="Q29" s="30">
        <f t="shared" si="4"/>
        <v>0</v>
      </c>
      <c r="R29" s="30">
        <f t="shared" si="5"/>
        <v>0</v>
      </c>
      <c r="S29" s="30">
        <f t="shared" si="6"/>
        <v>0</v>
      </c>
      <c r="T29" s="30">
        <f t="shared" si="7"/>
        <v>0</v>
      </c>
      <c r="U29" s="30">
        <f t="shared" si="8"/>
        <v>0</v>
      </c>
      <c r="V29" s="30">
        <f t="shared" si="9"/>
        <v>0</v>
      </c>
      <c r="W29" s="30">
        <f t="shared" si="10"/>
        <v>0</v>
      </c>
      <c r="X29" s="30">
        <f t="shared" si="11"/>
        <v>0</v>
      </c>
      <c r="Y29" s="43"/>
      <c r="Z29" s="43"/>
      <c r="AA29" s="31">
        <f t="shared" si="12"/>
        <v>1</v>
      </c>
      <c r="AB29" s="31">
        <f t="shared" si="13"/>
        <v>1</v>
      </c>
      <c r="AC29" s="31">
        <f t="shared" si="14"/>
        <v>1</v>
      </c>
      <c r="AD29" s="31">
        <f t="shared" si="15"/>
        <v>1</v>
      </c>
      <c r="AE29" s="31">
        <f t="shared" si="2"/>
        <v>1</v>
      </c>
      <c r="AF29" s="31">
        <f t="shared" si="16"/>
        <v>1</v>
      </c>
      <c r="AG29" s="31">
        <f t="shared" si="17"/>
        <v>1</v>
      </c>
      <c r="AH29" s="31">
        <f t="shared" si="18"/>
        <v>1</v>
      </c>
    </row>
    <row r="30" spans="1:34" x14ac:dyDescent="0.25">
      <c r="A30" s="9" t="s">
        <v>30</v>
      </c>
      <c r="B30" s="15" t="s">
        <v>21</v>
      </c>
      <c r="C30" s="72">
        <v>81</v>
      </c>
      <c r="D30" s="96">
        <f>29+(3*0.5)+3</f>
        <v>33.5</v>
      </c>
      <c r="E30" s="10">
        <v>77</v>
      </c>
      <c r="F30" s="14">
        <v>7.7899999999999997E-2</v>
      </c>
      <c r="G30" s="64">
        <v>0.24376731301939059</v>
      </c>
      <c r="H30" s="64">
        <v>0.81818181818181823</v>
      </c>
      <c r="I30" s="16">
        <v>4.3</v>
      </c>
      <c r="J30" s="14">
        <f>(18-4)/29</f>
        <v>0.48275862068965519</v>
      </c>
      <c r="K30" s="14">
        <f>11/29</f>
        <v>0.37931034482758619</v>
      </c>
      <c r="L30" s="16">
        <v>5</v>
      </c>
      <c r="M30" s="15">
        <f t="shared" si="0"/>
        <v>1</v>
      </c>
      <c r="N30" s="15">
        <f t="shared" si="1"/>
        <v>3</v>
      </c>
      <c r="O30" s="15">
        <f t="shared" si="3"/>
        <v>-2</v>
      </c>
      <c r="P30" s="39"/>
      <c r="Q30" s="30">
        <f t="shared" si="4"/>
        <v>0</v>
      </c>
      <c r="R30" s="30">
        <f t="shared" si="5"/>
        <v>0</v>
      </c>
      <c r="S30" s="30">
        <f t="shared" si="6"/>
        <v>0</v>
      </c>
      <c r="T30" s="30">
        <f t="shared" si="7"/>
        <v>1</v>
      </c>
      <c r="U30" s="30">
        <f t="shared" si="8"/>
        <v>0</v>
      </c>
      <c r="V30" s="30">
        <f t="shared" si="9"/>
        <v>0</v>
      </c>
      <c r="W30" s="30">
        <f t="shared" si="10"/>
        <v>0</v>
      </c>
      <c r="X30" s="30">
        <f t="shared" si="11"/>
        <v>0</v>
      </c>
      <c r="Y30" s="43"/>
      <c r="Z30" s="43"/>
      <c r="AA30" s="31">
        <f t="shared" si="12"/>
        <v>0</v>
      </c>
      <c r="AB30" s="31">
        <f t="shared" si="13"/>
        <v>0</v>
      </c>
      <c r="AC30" s="31">
        <f t="shared" si="14"/>
        <v>0</v>
      </c>
      <c r="AD30" s="31">
        <f t="shared" si="15"/>
        <v>0</v>
      </c>
      <c r="AE30" s="31">
        <f t="shared" si="2"/>
        <v>1</v>
      </c>
      <c r="AF30" s="31">
        <f t="shared" si="16"/>
        <v>1</v>
      </c>
      <c r="AG30" s="31">
        <f t="shared" si="17"/>
        <v>1</v>
      </c>
      <c r="AH30" s="31">
        <f t="shared" si="18"/>
        <v>0</v>
      </c>
    </row>
    <row r="31" spans="1:34" x14ac:dyDescent="0.25">
      <c r="A31" s="9" t="s">
        <v>32</v>
      </c>
      <c r="B31" s="15" t="s">
        <v>21</v>
      </c>
      <c r="C31" s="72">
        <v>90</v>
      </c>
      <c r="D31" s="96">
        <v>11.5</v>
      </c>
      <c r="E31" s="10">
        <v>34</v>
      </c>
      <c r="F31" s="14">
        <v>0</v>
      </c>
      <c r="G31" s="64">
        <v>0.44680851063829785</v>
      </c>
      <c r="H31" s="64">
        <v>0.49206349206349204</v>
      </c>
      <c r="I31" s="16">
        <v>4</v>
      </c>
      <c r="J31" s="14">
        <f>(4-1)/11</f>
        <v>0.27272727272727271</v>
      </c>
      <c r="K31" s="14">
        <f>7/11</f>
        <v>0.63636363636363635</v>
      </c>
      <c r="L31" s="16">
        <v>3.4</v>
      </c>
      <c r="M31" s="15">
        <f t="shared" si="0"/>
        <v>0</v>
      </c>
      <c r="N31" s="15">
        <f t="shared" si="1"/>
        <v>2</v>
      </c>
      <c r="O31" s="15">
        <f t="shared" si="3"/>
        <v>-2</v>
      </c>
      <c r="P31" s="39"/>
      <c r="Q31" s="30">
        <f t="shared" si="4"/>
        <v>0</v>
      </c>
      <c r="R31" s="30">
        <f t="shared" si="5"/>
        <v>0</v>
      </c>
      <c r="S31" s="30">
        <f t="shared" si="6"/>
        <v>0</v>
      </c>
      <c r="T31" s="30">
        <f t="shared" si="7"/>
        <v>0</v>
      </c>
      <c r="U31" s="30">
        <f t="shared" si="8"/>
        <v>0</v>
      </c>
      <c r="V31" s="30">
        <f t="shared" si="9"/>
        <v>0</v>
      </c>
      <c r="W31" s="30">
        <f t="shared" si="10"/>
        <v>0</v>
      </c>
      <c r="X31" s="30">
        <f t="shared" si="11"/>
        <v>0</v>
      </c>
      <c r="Y31" s="43"/>
      <c r="Z31" s="43"/>
      <c r="AA31" s="31">
        <f t="shared" si="12"/>
        <v>0</v>
      </c>
      <c r="AB31" s="31">
        <f t="shared" si="13"/>
        <v>1</v>
      </c>
      <c r="AC31" s="31">
        <f t="shared" si="14"/>
        <v>0</v>
      </c>
      <c r="AD31" s="31">
        <f t="shared" si="15"/>
        <v>0</v>
      </c>
      <c r="AE31" s="31">
        <f t="shared" si="2"/>
        <v>0</v>
      </c>
      <c r="AF31" s="31">
        <f t="shared" si="16"/>
        <v>0</v>
      </c>
      <c r="AG31" s="31">
        <f t="shared" si="17"/>
        <v>0</v>
      </c>
      <c r="AH31" s="31">
        <f t="shared" si="18"/>
        <v>1</v>
      </c>
    </row>
    <row r="32" spans="1:34" x14ac:dyDescent="0.25">
      <c r="A32" s="28" t="s">
        <v>28</v>
      </c>
      <c r="B32" s="15" t="s">
        <v>21</v>
      </c>
      <c r="C32" s="72">
        <v>94</v>
      </c>
      <c r="D32" s="96">
        <f>40+(2*0.5)</f>
        <v>41</v>
      </c>
      <c r="E32" s="29">
        <v>76</v>
      </c>
      <c r="F32" s="14">
        <v>6.5799999999999997E-2</v>
      </c>
      <c r="G32" s="64">
        <v>0.34990791896869244</v>
      </c>
      <c r="H32" s="64">
        <v>0.53157894736842104</v>
      </c>
      <c r="I32" s="16">
        <v>4.3</v>
      </c>
      <c r="J32" s="14">
        <f>(13-3)/30</f>
        <v>0.33333333333333331</v>
      </c>
      <c r="K32" s="14">
        <f>17/30</f>
        <v>0.56666666666666665</v>
      </c>
      <c r="L32" s="16">
        <v>7.4</v>
      </c>
      <c r="M32" s="15">
        <f t="shared" si="0"/>
        <v>0</v>
      </c>
      <c r="N32" s="15">
        <f t="shared" si="1"/>
        <v>1</v>
      </c>
      <c r="O32" s="15">
        <f t="shared" si="3"/>
        <v>-1</v>
      </c>
      <c r="P32" s="39"/>
      <c r="Q32" s="30">
        <f t="shared" si="4"/>
        <v>0</v>
      </c>
      <c r="R32" s="30">
        <f t="shared" si="5"/>
        <v>0</v>
      </c>
      <c r="S32" s="30">
        <f t="shared" si="6"/>
        <v>0</v>
      </c>
      <c r="T32" s="30">
        <f t="shared" si="7"/>
        <v>0</v>
      </c>
      <c r="U32" s="30">
        <f t="shared" si="8"/>
        <v>0</v>
      </c>
      <c r="V32" s="30">
        <f t="shared" si="9"/>
        <v>0</v>
      </c>
      <c r="W32" s="30">
        <f t="shared" si="10"/>
        <v>0</v>
      </c>
      <c r="X32" s="30">
        <f t="shared" si="11"/>
        <v>0</v>
      </c>
      <c r="Y32" s="43"/>
      <c r="Z32" s="43"/>
      <c r="AA32" s="31">
        <f t="shared" si="12"/>
        <v>0</v>
      </c>
      <c r="AB32" s="31">
        <f t="shared" si="13"/>
        <v>0</v>
      </c>
      <c r="AC32" s="31">
        <f t="shared" si="14"/>
        <v>0</v>
      </c>
      <c r="AD32" s="31">
        <f t="shared" si="15"/>
        <v>0</v>
      </c>
      <c r="AE32" s="31">
        <f t="shared" si="2"/>
        <v>1</v>
      </c>
      <c r="AF32" s="31">
        <f t="shared" si="16"/>
        <v>0</v>
      </c>
      <c r="AG32" s="31">
        <f t="shared" si="17"/>
        <v>0</v>
      </c>
      <c r="AH32" s="31">
        <f t="shared" si="18"/>
        <v>0</v>
      </c>
    </row>
    <row r="33" spans="1:48" x14ac:dyDescent="0.25">
      <c r="A33" s="9" t="s">
        <v>34</v>
      </c>
      <c r="B33" s="15" t="s">
        <v>21</v>
      </c>
      <c r="C33" s="72">
        <v>108</v>
      </c>
      <c r="D33" s="96">
        <v>10.8</v>
      </c>
      <c r="E33" s="10">
        <v>15</v>
      </c>
      <c r="F33" s="14">
        <v>0.2</v>
      </c>
      <c r="G33" s="64">
        <v>0.25333333333333335</v>
      </c>
      <c r="H33" s="64">
        <v>0.42105263157894735</v>
      </c>
      <c r="I33" s="16">
        <v>4</v>
      </c>
      <c r="J33" s="14">
        <f>(8-2)/12</f>
        <v>0.5</v>
      </c>
      <c r="K33" s="14">
        <f>4/12</f>
        <v>0.33333333333333331</v>
      </c>
      <c r="L33" s="16">
        <v>2.4</v>
      </c>
      <c r="M33" s="15">
        <f t="shared" si="0"/>
        <v>1</v>
      </c>
      <c r="N33" s="15">
        <f t="shared" si="1"/>
        <v>5</v>
      </c>
      <c r="O33" s="15">
        <f t="shared" si="3"/>
        <v>-4</v>
      </c>
      <c r="P33" s="39"/>
      <c r="Q33" s="30">
        <f t="shared" si="4"/>
        <v>0</v>
      </c>
      <c r="R33" s="30">
        <f t="shared" si="5"/>
        <v>1</v>
      </c>
      <c r="S33" s="30">
        <f t="shared" si="6"/>
        <v>0</v>
      </c>
      <c r="T33" s="30">
        <f t="shared" si="7"/>
        <v>0</v>
      </c>
      <c r="U33" s="30">
        <f t="shared" si="8"/>
        <v>0</v>
      </c>
      <c r="V33" s="30">
        <f t="shared" si="9"/>
        <v>0</v>
      </c>
      <c r="W33" s="30">
        <f t="shared" si="10"/>
        <v>0</v>
      </c>
      <c r="X33" s="30">
        <f t="shared" si="11"/>
        <v>0</v>
      </c>
      <c r="Y33" s="43"/>
      <c r="Z33" s="43"/>
      <c r="AA33" s="31">
        <f t="shared" si="12"/>
        <v>1</v>
      </c>
      <c r="AB33" s="31">
        <f t="shared" si="13"/>
        <v>0</v>
      </c>
      <c r="AC33" s="31">
        <f t="shared" si="14"/>
        <v>0</v>
      </c>
      <c r="AD33" s="31">
        <f t="shared" si="15"/>
        <v>1</v>
      </c>
      <c r="AE33" s="31">
        <f t="shared" si="2"/>
        <v>0</v>
      </c>
      <c r="AF33" s="31">
        <f t="shared" si="16"/>
        <v>1</v>
      </c>
      <c r="AG33" s="31">
        <f t="shared" si="17"/>
        <v>1</v>
      </c>
      <c r="AH33" s="31">
        <f t="shared" si="18"/>
        <v>1</v>
      </c>
    </row>
    <row r="34" spans="1:48" x14ac:dyDescent="0.25">
      <c r="A34" s="9" t="s">
        <v>25</v>
      </c>
      <c r="B34" s="15" t="s">
        <v>21</v>
      </c>
      <c r="C34" s="72">
        <v>110</v>
      </c>
      <c r="D34" s="96">
        <f>47+0.5+0.2</f>
        <v>47.7</v>
      </c>
      <c r="E34" s="10">
        <v>135</v>
      </c>
      <c r="F34" s="14">
        <v>4.4400000000000002E-2</v>
      </c>
      <c r="G34" s="64">
        <v>0.27084988085782369</v>
      </c>
      <c r="H34" s="64">
        <v>0.39882697947214074</v>
      </c>
      <c r="I34" s="16">
        <v>5</v>
      </c>
      <c r="J34" s="14">
        <f>(22-2)/77</f>
        <v>0.25974025974025972</v>
      </c>
      <c r="K34" s="14">
        <f>55/77</f>
        <v>0.7142857142857143</v>
      </c>
      <c r="L34" s="16">
        <v>17.600000000000001</v>
      </c>
      <c r="M34" s="15">
        <f t="shared" si="0"/>
        <v>2</v>
      </c>
      <c r="N34" s="15">
        <f t="shared" si="1"/>
        <v>2</v>
      </c>
      <c r="O34" s="15">
        <f t="shared" si="3"/>
        <v>0</v>
      </c>
      <c r="P34" s="39"/>
      <c r="Q34" s="30">
        <f t="shared" si="4"/>
        <v>1</v>
      </c>
      <c r="R34" s="30">
        <f t="shared" si="5"/>
        <v>0</v>
      </c>
      <c r="S34" s="30">
        <f t="shared" si="6"/>
        <v>0</v>
      </c>
      <c r="T34" s="30">
        <f t="shared" si="7"/>
        <v>0</v>
      </c>
      <c r="U34" s="30">
        <f t="shared" si="8"/>
        <v>0</v>
      </c>
      <c r="V34" s="30">
        <f t="shared" si="9"/>
        <v>0</v>
      </c>
      <c r="W34" s="30">
        <f t="shared" si="10"/>
        <v>0</v>
      </c>
      <c r="X34" s="30">
        <f t="shared" si="11"/>
        <v>1</v>
      </c>
      <c r="Y34" s="43"/>
      <c r="Z34" s="43"/>
      <c r="AA34" s="31">
        <f t="shared" si="12"/>
        <v>0</v>
      </c>
      <c r="AB34" s="31">
        <f t="shared" si="13"/>
        <v>0</v>
      </c>
      <c r="AC34" s="31">
        <f t="shared" si="14"/>
        <v>0</v>
      </c>
      <c r="AD34" s="31">
        <f t="shared" si="15"/>
        <v>1</v>
      </c>
      <c r="AE34" s="31">
        <f t="shared" si="2"/>
        <v>1</v>
      </c>
      <c r="AF34" s="31">
        <f t="shared" si="16"/>
        <v>0</v>
      </c>
      <c r="AG34" s="31">
        <f t="shared" si="17"/>
        <v>0</v>
      </c>
      <c r="AH34" s="31">
        <f t="shared" si="18"/>
        <v>0</v>
      </c>
    </row>
    <row r="35" spans="1:48" x14ac:dyDescent="0.25">
      <c r="A35" s="9" t="s">
        <v>31</v>
      </c>
      <c r="B35" s="15" t="s">
        <v>21</v>
      </c>
      <c r="C35" s="72">
        <v>114</v>
      </c>
      <c r="D35" s="96">
        <f>24+(3*0.5)+2+0.5</f>
        <v>28</v>
      </c>
      <c r="E35" s="10">
        <v>79</v>
      </c>
      <c r="F35" s="14">
        <v>0.1013</v>
      </c>
      <c r="G35" s="64">
        <v>0.4757834757834758</v>
      </c>
      <c r="H35" s="64">
        <v>0.40119760479041916</v>
      </c>
      <c r="I35" s="16">
        <v>4</v>
      </c>
      <c r="J35" s="14">
        <f>(16-6)/31</f>
        <v>0.32258064516129031</v>
      </c>
      <c r="K35" s="14">
        <f>15/31</f>
        <v>0.4838709677419355</v>
      </c>
      <c r="L35" s="16">
        <v>7.2</v>
      </c>
      <c r="M35" s="15">
        <f t="shared" si="0"/>
        <v>0</v>
      </c>
      <c r="N35" s="15">
        <f t="shared" si="1"/>
        <v>3</v>
      </c>
      <c r="O35" s="15">
        <f t="shared" si="3"/>
        <v>-3</v>
      </c>
      <c r="P35" s="39"/>
      <c r="Q35" s="30">
        <f t="shared" si="4"/>
        <v>0</v>
      </c>
      <c r="R35" s="30">
        <f t="shared" si="5"/>
        <v>0</v>
      </c>
      <c r="S35" s="30">
        <f t="shared" si="6"/>
        <v>0</v>
      </c>
      <c r="T35" s="30">
        <f t="shared" si="7"/>
        <v>0</v>
      </c>
      <c r="U35" s="30">
        <f t="shared" si="8"/>
        <v>0</v>
      </c>
      <c r="V35" s="30">
        <f t="shared" si="9"/>
        <v>0</v>
      </c>
      <c r="W35" s="30">
        <f t="shared" si="10"/>
        <v>0</v>
      </c>
      <c r="X35" s="30">
        <f t="shared" si="11"/>
        <v>0</v>
      </c>
      <c r="Y35" s="43"/>
      <c r="Z35" s="43"/>
      <c r="AA35" s="31">
        <f t="shared" si="12"/>
        <v>0</v>
      </c>
      <c r="AB35" s="31">
        <f t="shared" si="13"/>
        <v>0</v>
      </c>
      <c r="AC35" s="31">
        <f t="shared" si="14"/>
        <v>1</v>
      </c>
      <c r="AD35" s="31">
        <f t="shared" si="15"/>
        <v>1</v>
      </c>
      <c r="AE35" s="31">
        <f t="shared" si="2"/>
        <v>0</v>
      </c>
      <c r="AF35" s="31">
        <f t="shared" si="16"/>
        <v>0</v>
      </c>
      <c r="AG35" s="31">
        <f t="shared" si="17"/>
        <v>1</v>
      </c>
      <c r="AH35" s="31">
        <f t="shared" si="18"/>
        <v>0</v>
      </c>
    </row>
    <row r="36" spans="1:48" x14ac:dyDescent="0.25">
      <c r="A36" s="18" t="s">
        <v>35</v>
      </c>
      <c r="B36" s="15" t="s">
        <v>21</v>
      </c>
      <c r="C36" s="72">
        <v>123</v>
      </c>
      <c r="D36" s="96">
        <v>11.5</v>
      </c>
      <c r="E36" s="10">
        <v>35</v>
      </c>
      <c r="F36" s="14">
        <v>0.34289999999999998</v>
      </c>
      <c r="G36" s="64">
        <v>0.44247787610619471</v>
      </c>
      <c r="H36" s="64">
        <v>0.54</v>
      </c>
      <c r="I36" s="16">
        <v>4.2</v>
      </c>
      <c r="J36" s="14">
        <f>(17-2)/27</f>
        <v>0.55555555555555558</v>
      </c>
      <c r="K36" s="14">
        <f>10/27</f>
        <v>0.37037037037037035</v>
      </c>
      <c r="L36" s="16">
        <v>4.8</v>
      </c>
      <c r="M36" s="15">
        <f t="shared" si="0"/>
        <v>1</v>
      </c>
      <c r="N36" s="15">
        <f t="shared" si="1"/>
        <v>3</v>
      </c>
      <c r="O36" s="15">
        <f t="shared" si="3"/>
        <v>-2</v>
      </c>
      <c r="P36" s="39"/>
      <c r="Q36" s="30">
        <f t="shared" si="4"/>
        <v>0</v>
      </c>
      <c r="R36" s="30">
        <f t="shared" si="5"/>
        <v>1</v>
      </c>
      <c r="S36" s="30">
        <f t="shared" si="6"/>
        <v>0</v>
      </c>
      <c r="T36" s="30">
        <f t="shared" si="7"/>
        <v>0</v>
      </c>
      <c r="U36" s="30">
        <f t="shared" si="8"/>
        <v>0</v>
      </c>
      <c r="V36" s="30">
        <f t="shared" si="9"/>
        <v>0</v>
      </c>
      <c r="W36" s="30">
        <f t="shared" si="10"/>
        <v>0</v>
      </c>
      <c r="X36" s="30">
        <f t="shared" si="11"/>
        <v>0</v>
      </c>
      <c r="Y36" s="43"/>
      <c r="Z36" s="43"/>
      <c r="AA36" s="31">
        <f t="shared" si="12"/>
        <v>0</v>
      </c>
      <c r="AB36" s="31">
        <f t="shared" si="13"/>
        <v>0</v>
      </c>
      <c r="AC36" s="31">
        <f t="shared" si="14"/>
        <v>0</v>
      </c>
      <c r="AD36" s="31">
        <f t="shared" si="15"/>
        <v>0</v>
      </c>
      <c r="AE36" s="31">
        <f t="shared" si="2"/>
        <v>0</v>
      </c>
      <c r="AF36" s="31">
        <f t="shared" si="16"/>
        <v>1</v>
      </c>
      <c r="AG36" s="31">
        <f t="shared" si="17"/>
        <v>1</v>
      </c>
      <c r="AH36" s="31">
        <f t="shared" si="18"/>
        <v>1</v>
      </c>
    </row>
    <row r="37" spans="1:48" x14ac:dyDescent="0.25">
      <c r="A37" s="22" t="s">
        <v>108</v>
      </c>
      <c r="B37" s="15" t="s">
        <v>21</v>
      </c>
      <c r="C37" s="72" t="s">
        <v>109</v>
      </c>
      <c r="D37" s="96">
        <f>19+(3*0.5)</f>
        <v>20.5</v>
      </c>
      <c r="E37" s="10">
        <f>45+25</f>
        <v>70</v>
      </c>
      <c r="F37" s="14">
        <f>(0.12*25+0.1778*45)/E37</f>
        <v>0.15715714285714288</v>
      </c>
      <c r="G37" s="64">
        <f>(62+42)/(146+104)</f>
        <v>0.41599999999999998</v>
      </c>
      <c r="H37" s="64">
        <f>(25+19)/(62+42)</f>
        <v>0.42307692307692307</v>
      </c>
      <c r="I37" s="16">
        <v>3.7</v>
      </c>
      <c r="J37" s="14">
        <f>(13-4)/16</f>
        <v>0.5625</v>
      </c>
      <c r="K37" s="14">
        <f>3/16</f>
        <v>0.1875</v>
      </c>
      <c r="L37" s="16">
        <f>5+2.2</f>
        <v>7.2</v>
      </c>
      <c r="M37" s="15">
        <f t="shared" si="0"/>
        <v>2</v>
      </c>
      <c r="N37" s="15">
        <f t="shared" si="1"/>
        <v>3</v>
      </c>
      <c r="O37" s="15">
        <f t="shared" si="3"/>
        <v>-1</v>
      </c>
      <c r="P37" s="39"/>
      <c r="Q37" s="30">
        <f t="shared" si="4"/>
        <v>0</v>
      </c>
      <c r="R37" s="30">
        <f t="shared" si="5"/>
        <v>1</v>
      </c>
      <c r="S37" s="30">
        <f t="shared" si="6"/>
        <v>0</v>
      </c>
      <c r="T37" s="30">
        <f t="shared" si="7"/>
        <v>0</v>
      </c>
      <c r="U37" s="30">
        <f t="shared" si="8"/>
        <v>1</v>
      </c>
      <c r="V37" s="30">
        <f t="shared" si="9"/>
        <v>0</v>
      </c>
      <c r="W37" s="30">
        <f t="shared" si="10"/>
        <v>0</v>
      </c>
      <c r="X37" s="30">
        <f t="shared" si="11"/>
        <v>0</v>
      </c>
      <c r="Y37" s="43"/>
      <c r="Z37" s="43"/>
      <c r="AA37" s="31">
        <f t="shared" si="12"/>
        <v>0</v>
      </c>
      <c r="AB37" s="31">
        <f t="shared" si="13"/>
        <v>0</v>
      </c>
      <c r="AC37" s="31">
        <f t="shared" si="14"/>
        <v>0</v>
      </c>
      <c r="AD37" s="31">
        <f t="shared" si="15"/>
        <v>1</v>
      </c>
      <c r="AE37" s="31">
        <f t="shared" si="2"/>
        <v>0</v>
      </c>
      <c r="AF37" s="31">
        <f t="shared" si="16"/>
        <v>1</v>
      </c>
      <c r="AG37" s="31">
        <f t="shared" si="17"/>
        <v>1</v>
      </c>
      <c r="AH37" s="31">
        <f t="shared" si="18"/>
        <v>0</v>
      </c>
    </row>
    <row r="38" spans="1:48" x14ac:dyDescent="0.25">
      <c r="A38" s="9" t="s">
        <v>26</v>
      </c>
      <c r="B38" s="15" t="s">
        <v>21</v>
      </c>
      <c r="C38" s="72">
        <v>132</v>
      </c>
      <c r="D38" s="96">
        <v>11</v>
      </c>
      <c r="E38" s="10">
        <v>64</v>
      </c>
      <c r="F38" s="14">
        <v>3.1300000000000001E-2</v>
      </c>
      <c r="G38" s="64">
        <v>8.957415565345081E-2</v>
      </c>
      <c r="H38" s="64">
        <v>0.86885245901639341</v>
      </c>
      <c r="I38" s="16">
        <v>3.3</v>
      </c>
      <c r="J38" s="14">
        <f>(8-0)/18</f>
        <v>0.44444444444444442</v>
      </c>
      <c r="K38" s="14">
        <f>10/18</f>
        <v>0.55555555555555558</v>
      </c>
      <c r="L38" s="16">
        <v>7</v>
      </c>
      <c r="M38" s="15">
        <f t="shared" si="0"/>
        <v>3</v>
      </c>
      <c r="N38" s="15">
        <f t="shared" si="1"/>
        <v>2</v>
      </c>
      <c r="O38" s="15">
        <f t="shared" si="3"/>
        <v>1</v>
      </c>
      <c r="P38" s="39"/>
      <c r="Q38" s="30">
        <f t="shared" si="4"/>
        <v>0</v>
      </c>
      <c r="R38" s="30">
        <f t="shared" si="5"/>
        <v>0</v>
      </c>
      <c r="S38" s="30">
        <f t="shared" si="6"/>
        <v>1</v>
      </c>
      <c r="T38" s="30">
        <f t="shared" si="7"/>
        <v>1</v>
      </c>
      <c r="U38" s="30">
        <f t="shared" si="8"/>
        <v>1</v>
      </c>
      <c r="V38" s="30">
        <f t="shared" si="9"/>
        <v>0</v>
      </c>
      <c r="W38" s="30">
        <f t="shared" si="10"/>
        <v>0</v>
      </c>
      <c r="X38" s="30">
        <f t="shared" si="11"/>
        <v>0</v>
      </c>
      <c r="Y38" s="43"/>
      <c r="Z38" s="43"/>
      <c r="AA38" s="31">
        <f t="shared" si="12"/>
        <v>0</v>
      </c>
      <c r="AB38" s="31">
        <f t="shared" si="13"/>
        <v>1</v>
      </c>
      <c r="AC38" s="31">
        <f t="shared" si="14"/>
        <v>0</v>
      </c>
      <c r="AD38" s="31">
        <f t="shared" si="15"/>
        <v>0</v>
      </c>
      <c r="AE38" s="31">
        <f t="shared" si="2"/>
        <v>0</v>
      </c>
      <c r="AF38" s="31">
        <f t="shared" si="16"/>
        <v>1</v>
      </c>
      <c r="AG38" s="31">
        <f t="shared" si="17"/>
        <v>0</v>
      </c>
      <c r="AH38" s="31">
        <f t="shared" si="18"/>
        <v>0</v>
      </c>
    </row>
    <row r="39" spans="1:48" x14ac:dyDescent="0.25">
      <c r="A39" s="81" t="s">
        <v>38</v>
      </c>
      <c r="B39" s="85" t="s">
        <v>39</v>
      </c>
      <c r="C39" s="82">
        <v>141</v>
      </c>
      <c r="D39" s="98">
        <f>58+(3*0.5)</f>
        <v>59.5</v>
      </c>
      <c r="E39" s="91">
        <v>76</v>
      </c>
      <c r="F39" s="83">
        <v>6.5799999999999997E-2</v>
      </c>
      <c r="G39" s="84">
        <v>0.48170731707317072</v>
      </c>
      <c r="H39" s="84">
        <v>0.59493670886075944</v>
      </c>
      <c r="I39" s="86">
        <v>4</v>
      </c>
      <c r="J39" s="83">
        <f>(7-1)/26</f>
        <v>0.23076923076923078</v>
      </c>
      <c r="K39" s="83">
        <f>19/26</f>
        <v>0.73076923076923073</v>
      </c>
      <c r="L39" s="86">
        <v>6.8</v>
      </c>
      <c r="M39" s="15">
        <f t="shared" ref="M39:M63" si="19">SUM(Q39:X39)</f>
        <v>1</v>
      </c>
      <c r="N39" s="15">
        <f t="shared" ref="N39:N63" si="20">SUM(AA39:AH39)</f>
        <v>1</v>
      </c>
      <c r="O39" s="15">
        <f t="shared" si="3"/>
        <v>0</v>
      </c>
      <c r="P39" s="92"/>
      <c r="Q39" s="87">
        <f t="shared" si="4"/>
        <v>0</v>
      </c>
      <c r="R39" s="87">
        <f t="shared" si="5"/>
        <v>0</v>
      </c>
      <c r="S39" s="87">
        <f t="shared" si="6"/>
        <v>0</v>
      </c>
      <c r="T39" s="87">
        <f t="shared" si="7"/>
        <v>0</v>
      </c>
      <c r="U39" s="87">
        <f t="shared" si="8"/>
        <v>0</v>
      </c>
      <c r="V39" s="87">
        <f t="shared" si="9"/>
        <v>0</v>
      </c>
      <c r="W39" s="87">
        <f t="shared" si="10"/>
        <v>1</v>
      </c>
      <c r="X39" s="87">
        <f t="shared" si="11"/>
        <v>0</v>
      </c>
      <c r="Y39" s="88"/>
      <c r="Z39" s="88"/>
      <c r="AA39" s="89">
        <f t="shared" si="12"/>
        <v>0</v>
      </c>
      <c r="AB39" s="89">
        <f t="shared" si="13"/>
        <v>0</v>
      </c>
      <c r="AC39" s="89">
        <f t="shared" si="14"/>
        <v>1</v>
      </c>
      <c r="AD39" s="89">
        <f t="shared" si="15"/>
        <v>0</v>
      </c>
      <c r="AE39" s="89">
        <f t="shared" si="2"/>
        <v>0</v>
      </c>
      <c r="AF39" s="89">
        <f t="shared" si="16"/>
        <v>0</v>
      </c>
      <c r="AG39" s="89">
        <f t="shared" si="17"/>
        <v>0</v>
      </c>
      <c r="AH39" s="89">
        <f t="shared" si="18"/>
        <v>0</v>
      </c>
    </row>
    <row r="40" spans="1:48" s="93" customFormat="1" x14ac:dyDescent="0.25">
      <c r="A40" s="9" t="s">
        <v>41</v>
      </c>
      <c r="B40" s="71" t="s">
        <v>40</v>
      </c>
      <c r="C40" s="72">
        <v>437</v>
      </c>
      <c r="D40" s="96">
        <v>28</v>
      </c>
      <c r="E40" s="10">
        <v>92</v>
      </c>
      <c r="F40" s="14">
        <v>0.14130000000000001</v>
      </c>
      <c r="G40" s="64">
        <v>0.60493827160493829</v>
      </c>
      <c r="H40" s="64">
        <v>0.5714285714285714</v>
      </c>
      <c r="I40" s="15">
        <v>4</v>
      </c>
      <c r="J40" s="14">
        <f>(25-8)/53</f>
        <v>0.32075471698113206</v>
      </c>
      <c r="K40" s="14">
        <f>28/53</f>
        <v>0.52830188679245282</v>
      </c>
      <c r="L40" s="16">
        <v>12.2</v>
      </c>
      <c r="M40" s="15">
        <f t="shared" si="19"/>
        <v>2</v>
      </c>
      <c r="N40" s="15">
        <f t="shared" si="20"/>
        <v>1</v>
      </c>
      <c r="O40" s="15">
        <f t="shared" si="3"/>
        <v>1</v>
      </c>
      <c r="P40" s="13"/>
      <c r="Q40" s="30">
        <f t="shared" si="4"/>
        <v>1</v>
      </c>
      <c r="R40" s="30">
        <f t="shared" si="5"/>
        <v>1</v>
      </c>
      <c r="S40" s="30">
        <f t="shared" si="6"/>
        <v>0</v>
      </c>
      <c r="T40" s="30">
        <f t="shared" si="7"/>
        <v>0</v>
      </c>
      <c r="U40" s="30">
        <f t="shared" si="8"/>
        <v>0</v>
      </c>
      <c r="V40" s="30">
        <f t="shared" si="9"/>
        <v>0</v>
      </c>
      <c r="W40" s="30">
        <f t="shared" si="10"/>
        <v>0</v>
      </c>
      <c r="X40" s="30">
        <f t="shared" si="11"/>
        <v>0</v>
      </c>
      <c r="Y40" s="43"/>
      <c r="Z40" s="43"/>
      <c r="AA40" s="31">
        <f t="shared" si="12"/>
        <v>0</v>
      </c>
      <c r="AB40" s="31">
        <f t="shared" si="13"/>
        <v>0</v>
      </c>
      <c r="AC40" s="31">
        <f t="shared" si="14"/>
        <v>1</v>
      </c>
      <c r="AD40" s="31">
        <f t="shared" si="15"/>
        <v>0</v>
      </c>
      <c r="AE40" s="31">
        <f t="shared" si="2"/>
        <v>0</v>
      </c>
      <c r="AF40" s="31">
        <f t="shared" si="16"/>
        <v>0</v>
      </c>
      <c r="AG40" s="31">
        <f t="shared" si="17"/>
        <v>0</v>
      </c>
      <c r="AH40" s="31">
        <f t="shared" si="18"/>
        <v>0</v>
      </c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</row>
    <row r="41" spans="1:48" s="79" customFormat="1" x14ac:dyDescent="0.25">
      <c r="A41" s="77" t="s">
        <v>120</v>
      </c>
      <c r="B41" s="71" t="s">
        <v>40</v>
      </c>
      <c r="C41" s="72" t="s">
        <v>121</v>
      </c>
      <c r="D41" s="96">
        <v>34</v>
      </c>
      <c r="E41" s="10">
        <f>(22+15+34+20+26+12+7)</f>
        <v>136</v>
      </c>
      <c r="F41" s="14">
        <v>0.154</v>
      </c>
      <c r="G41" s="64">
        <f>(58+24+68+21+23+37+54)/(131+75+150+61+45+61+187)</f>
        <v>0.40140845070422537</v>
      </c>
      <c r="H41" s="64">
        <f>(51+12+52+12+16+14+33)/(58+24+68+21+23+37+54)</f>
        <v>0.66666666666666663</v>
      </c>
      <c r="I41" s="15">
        <v>4</v>
      </c>
      <c r="J41" s="14">
        <f>(17+4+18+5+8+0+4)/(32+8+47+12+21+2+10)</f>
        <v>0.42424242424242425</v>
      </c>
      <c r="K41" s="14">
        <f>(8+2+18+4+11+1+5)/(32+8+47+12+21+2+10)</f>
        <v>0.37121212121212122</v>
      </c>
      <c r="L41" s="16">
        <f>4.8+0.8+5.2+2.6+5.4+1.4+2.6</f>
        <v>22.8</v>
      </c>
      <c r="M41" s="15">
        <f t="shared" si="19"/>
        <v>3</v>
      </c>
      <c r="N41" s="15">
        <f t="shared" si="20"/>
        <v>2</v>
      </c>
      <c r="O41" s="15">
        <f t="shared" si="3"/>
        <v>1</v>
      </c>
      <c r="P41" s="12"/>
      <c r="Q41" s="30">
        <f t="shared" si="4"/>
        <v>1</v>
      </c>
      <c r="R41" s="30">
        <f t="shared" si="5"/>
        <v>1</v>
      </c>
      <c r="S41" s="30">
        <f t="shared" si="6"/>
        <v>0</v>
      </c>
      <c r="T41" s="30">
        <f t="shared" si="7"/>
        <v>0</v>
      </c>
      <c r="U41" s="30">
        <f t="shared" si="8"/>
        <v>0</v>
      </c>
      <c r="V41" s="30">
        <f t="shared" si="9"/>
        <v>0</v>
      </c>
      <c r="W41" s="30">
        <f t="shared" si="10"/>
        <v>0</v>
      </c>
      <c r="X41" s="30">
        <f t="shared" si="11"/>
        <v>1</v>
      </c>
      <c r="Y41" s="43"/>
      <c r="Z41" s="43"/>
      <c r="AA41" s="31">
        <f t="shared" si="12"/>
        <v>0</v>
      </c>
      <c r="AB41" s="31">
        <f t="shared" si="13"/>
        <v>0</v>
      </c>
      <c r="AC41" s="31">
        <f t="shared" si="14"/>
        <v>0</v>
      </c>
      <c r="AD41" s="31">
        <f t="shared" si="15"/>
        <v>0</v>
      </c>
      <c r="AE41" s="31">
        <f t="shared" si="2"/>
        <v>0</v>
      </c>
      <c r="AF41" s="31">
        <f t="shared" si="16"/>
        <v>1</v>
      </c>
      <c r="AG41" s="31">
        <f t="shared" si="17"/>
        <v>1</v>
      </c>
      <c r="AH41" s="31">
        <f t="shared" si="18"/>
        <v>0</v>
      </c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</row>
    <row r="42" spans="1:48" s="79" customFormat="1" x14ac:dyDescent="0.25">
      <c r="A42" s="47" t="s">
        <v>122</v>
      </c>
      <c r="B42" s="71" t="s">
        <v>40</v>
      </c>
      <c r="C42" s="72" t="s">
        <v>123</v>
      </c>
      <c r="D42" s="96">
        <v>22</v>
      </c>
      <c r="E42" s="10">
        <f>43+37</f>
        <v>80</v>
      </c>
      <c r="F42" s="14">
        <f>(43*0.186+37*0.108)/(43+37)</f>
        <v>0.149925</v>
      </c>
      <c r="G42" s="64">
        <f>(54+26)/(187+57)</f>
        <v>0.32786885245901637</v>
      </c>
      <c r="H42" s="64">
        <f>(33+17)/(54+26)</f>
        <v>0.625</v>
      </c>
      <c r="I42" s="15">
        <v>3.7</v>
      </c>
      <c r="J42" s="14">
        <f>(4+6)/(11+20)</f>
        <v>0.32258064516129031</v>
      </c>
      <c r="K42" s="14">
        <f>(6+12)/(11+20)</f>
        <v>0.58064516129032262</v>
      </c>
      <c r="L42" s="16">
        <f>4.4+5</f>
        <v>9.4</v>
      </c>
      <c r="M42" s="15">
        <f t="shared" si="19"/>
        <v>3</v>
      </c>
      <c r="N42" s="15">
        <f t="shared" si="20"/>
        <v>0</v>
      </c>
      <c r="O42" s="15">
        <f t="shared" si="3"/>
        <v>3</v>
      </c>
      <c r="P42" s="12"/>
      <c r="Q42" s="30">
        <f t="shared" si="4"/>
        <v>1</v>
      </c>
      <c r="R42" s="30">
        <f t="shared" si="5"/>
        <v>1</v>
      </c>
      <c r="S42" s="30">
        <f t="shared" si="6"/>
        <v>0</v>
      </c>
      <c r="T42" s="30">
        <f t="shared" si="7"/>
        <v>0</v>
      </c>
      <c r="U42" s="30">
        <f t="shared" si="8"/>
        <v>1</v>
      </c>
      <c r="V42" s="30">
        <f t="shared" si="9"/>
        <v>0</v>
      </c>
      <c r="W42" s="30">
        <f t="shared" si="10"/>
        <v>0</v>
      </c>
      <c r="X42" s="30">
        <f t="shared" si="11"/>
        <v>0</v>
      </c>
      <c r="Y42" s="43"/>
      <c r="Z42" s="43"/>
      <c r="AA42" s="31">
        <f t="shared" si="12"/>
        <v>0</v>
      </c>
      <c r="AB42" s="31">
        <f t="shared" si="13"/>
        <v>0</v>
      </c>
      <c r="AC42" s="31">
        <f t="shared" si="14"/>
        <v>0</v>
      </c>
      <c r="AD42" s="31">
        <f t="shared" si="15"/>
        <v>0</v>
      </c>
      <c r="AE42" s="31">
        <f t="shared" si="2"/>
        <v>0</v>
      </c>
      <c r="AF42" s="31">
        <f t="shared" si="16"/>
        <v>0</v>
      </c>
      <c r="AG42" s="31">
        <f t="shared" si="17"/>
        <v>0</v>
      </c>
      <c r="AH42" s="31">
        <f t="shared" si="18"/>
        <v>0</v>
      </c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</row>
    <row r="43" spans="1:48" s="90" customFormat="1" x14ac:dyDescent="0.25">
      <c r="A43" s="19" t="s">
        <v>110</v>
      </c>
      <c r="B43" s="15" t="s">
        <v>43</v>
      </c>
      <c r="C43" s="72" t="s">
        <v>111</v>
      </c>
      <c r="D43" s="16">
        <v>45</v>
      </c>
      <c r="E43" s="10">
        <f>53+142</f>
        <v>195</v>
      </c>
      <c r="F43" s="14">
        <f>(0.0943*53+0.1056*142)/E43</f>
        <v>0.10252871794871794</v>
      </c>
      <c r="G43" s="64">
        <f>(113+579)/(186+916)</f>
        <v>0.62794918330308525</v>
      </c>
      <c r="H43" s="64">
        <f>(39+129)/(113+579)</f>
        <v>0.24277456647398843</v>
      </c>
      <c r="I43" s="16">
        <v>3.7</v>
      </c>
      <c r="J43" s="14">
        <f>(17+13)/(47+48)</f>
        <v>0.31578947368421051</v>
      </c>
      <c r="K43" s="14">
        <f>(30+33)/(47+48)</f>
        <v>0.66315789473684206</v>
      </c>
      <c r="L43" s="16">
        <f>9.8+17.2</f>
        <v>27</v>
      </c>
      <c r="M43" s="15">
        <f t="shared" si="19"/>
        <v>3</v>
      </c>
      <c r="N43" s="15">
        <f t="shared" si="20"/>
        <v>2</v>
      </c>
      <c r="O43" s="15">
        <f t="shared" si="3"/>
        <v>1</v>
      </c>
      <c r="P43" s="39"/>
      <c r="Q43" s="30">
        <f t="shared" si="4"/>
        <v>1</v>
      </c>
      <c r="R43" s="30">
        <f t="shared" si="5"/>
        <v>0</v>
      </c>
      <c r="S43" s="30">
        <f t="shared" si="6"/>
        <v>0</v>
      </c>
      <c r="T43" s="30">
        <f t="shared" si="7"/>
        <v>0</v>
      </c>
      <c r="U43" s="30">
        <f t="shared" si="8"/>
        <v>1</v>
      </c>
      <c r="V43" s="30">
        <f t="shared" si="9"/>
        <v>0</v>
      </c>
      <c r="W43" s="30">
        <f t="shared" si="10"/>
        <v>0</v>
      </c>
      <c r="X43" s="30">
        <f t="shared" si="11"/>
        <v>1</v>
      </c>
      <c r="Y43" s="43"/>
      <c r="Z43" s="43"/>
      <c r="AA43" s="31">
        <f t="shared" si="12"/>
        <v>0</v>
      </c>
      <c r="AB43" s="31">
        <f t="shared" si="13"/>
        <v>0</v>
      </c>
      <c r="AC43" s="31">
        <f t="shared" si="14"/>
        <v>1</v>
      </c>
      <c r="AD43" s="31">
        <f t="shared" si="15"/>
        <v>1</v>
      </c>
      <c r="AE43" s="31">
        <f t="shared" si="2"/>
        <v>0</v>
      </c>
      <c r="AF43" s="31">
        <f t="shared" si="16"/>
        <v>0</v>
      </c>
      <c r="AG43" s="31">
        <f t="shared" si="17"/>
        <v>0</v>
      </c>
      <c r="AH43" s="31">
        <f t="shared" si="18"/>
        <v>0</v>
      </c>
    </row>
    <row r="44" spans="1:48" x14ac:dyDescent="0.25">
      <c r="A44" s="9" t="s">
        <v>49</v>
      </c>
      <c r="B44" s="15" t="s">
        <v>43</v>
      </c>
      <c r="C44" s="72">
        <v>332</v>
      </c>
      <c r="D44" s="16">
        <v>27</v>
      </c>
      <c r="E44" s="10">
        <v>43</v>
      </c>
      <c r="F44" s="14">
        <v>0.1163</v>
      </c>
      <c r="G44" s="64">
        <v>0.5419847328244275</v>
      </c>
      <c r="H44" s="64">
        <v>0.60563380281690138</v>
      </c>
      <c r="I44" s="16">
        <v>4.3</v>
      </c>
      <c r="J44" s="14">
        <f>(9-0)/27</f>
        <v>0.33333333333333331</v>
      </c>
      <c r="K44" s="14">
        <f>18/27</f>
        <v>0.66666666666666663</v>
      </c>
      <c r="L44" s="16">
        <v>6.8</v>
      </c>
      <c r="M44" s="15">
        <f t="shared" si="19"/>
        <v>1</v>
      </c>
      <c r="N44" s="15">
        <f t="shared" si="20"/>
        <v>2</v>
      </c>
      <c r="O44" s="15">
        <f t="shared" si="3"/>
        <v>-1</v>
      </c>
      <c r="P44" s="39"/>
      <c r="Q44" s="30">
        <f t="shared" si="4"/>
        <v>0</v>
      </c>
      <c r="R44" s="30">
        <f t="shared" si="5"/>
        <v>1</v>
      </c>
      <c r="S44" s="30">
        <f t="shared" si="6"/>
        <v>0</v>
      </c>
      <c r="T44" s="30">
        <f t="shared" si="7"/>
        <v>0</v>
      </c>
      <c r="U44" s="30">
        <f t="shared" si="8"/>
        <v>0</v>
      </c>
      <c r="V44" s="30">
        <f t="shared" si="9"/>
        <v>0</v>
      </c>
      <c r="W44" s="30">
        <f t="shared" si="10"/>
        <v>0</v>
      </c>
      <c r="X44" s="30">
        <f t="shared" si="11"/>
        <v>0</v>
      </c>
      <c r="Y44" s="43"/>
      <c r="Z44" s="43"/>
      <c r="AA44" s="31">
        <f t="shared" si="12"/>
        <v>0</v>
      </c>
      <c r="AB44" s="31">
        <f t="shared" si="13"/>
        <v>0</v>
      </c>
      <c r="AC44" s="31">
        <f t="shared" si="14"/>
        <v>1</v>
      </c>
      <c r="AD44" s="31">
        <f t="shared" si="15"/>
        <v>0</v>
      </c>
      <c r="AE44" s="31">
        <f t="shared" si="2"/>
        <v>1</v>
      </c>
      <c r="AF44" s="31">
        <f t="shared" si="16"/>
        <v>0</v>
      </c>
      <c r="AG44" s="31">
        <f t="shared" si="17"/>
        <v>0</v>
      </c>
      <c r="AH44" s="31">
        <f t="shared" si="18"/>
        <v>0</v>
      </c>
    </row>
    <row r="45" spans="1:48" x14ac:dyDescent="0.25">
      <c r="A45" s="9" t="s">
        <v>50</v>
      </c>
      <c r="B45" s="15" t="s">
        <v>43</v>
      </c>
      <c r="C45" s="72">
        <v>345</v>
      </c>
      <c r="D45" s="16">
        <f>8+0.5+0.49</f>
        <v>8.99</v>
      </c>
      <c r="E45" s="10">
        <v>54</v>
      </c>
      <c r="F45" s="14">
        <v>1.8499999999999999E-2</v>
      </c>
      <c r="G45" s="64">
        <v>0.26216216216216215</v>
      </c>
      <c r="H45" s="64">
        <v>0.46391752577319589</v>
      </c>
      <c r="I45" s="16">
        <v>4.3</v>
      </c>
      <c r="J45" s="14">
        <f>(8-3)/24</f>
        <v>0.20833333333333334</v>
      </c>
      <c r="K45" s="14">
        <f>16/24</f>
        <v>0.66666666666666663</v>
      </c>
      <c r="L45" s="16">
        <v>5.4</v>
      </c>
      <c r="M45" s="15">
        <f t="shared" si="19"/>
        <v>1</v>
      </c>
      <c r="N45" s="15">
        <f t="shared" si="20"/>
        <v>3</v>
      </c>
      <c r="O45" s="15">
        <f t="shared" si="3"/>
        <v>-2</v>
      </c>
      <c r="P45" s="39"/>
      <c r="Q45" s="30">
        <f t="shared" si="4"/>
        <v>0</v>
      </c>
      <c r="R45" s="30">
        <f t="shared" si="5"/>
        <v>0</v>
      </c>
      <c r="S45" s="30">
        <f t="shared" si="6"/>
        <v>0</v>
      </c>
      <c r="T45" s="30">
        <f t="shared" si="7"/>
        <v>0</v>
      </c>
      <c r="U45" s="30">
        <f t="shared" si="8"/>
        <v>0</v>
      </c>
      <c r="V45" s="30">
        <f t="shared" si="9"/>
        <v>1</v>
      </c>
      <c r="W45" s="30">
        <f t="shared" si="10"/>
        <v>0</v>
      </c>
      <c r="X45" s="30">
        <f t="shared" si="11"/>
        <v>0</v>
      </c>
      <c r="Y45" s="43"/>
      <c r="Z45" s="43"/>
      <c r="AA45" s="31">
        <f t="shared" si="12"/>
        <v>0</v>
      </c>
      <c r="AB45" s="31">
        <f t="shared" si="13"/>
        <v>1</v>
      </c>
      <c r="AC45" s="31">
        <f t="shared" si="14"/>
        <v>0</v>
      </c>
      <c r="AD45" s="31">
        <f t="shared" si="15"/>
        <v>1</v>
      </c>
      <c r="AE45" s="31">
        <f t="shared" si="2"/>
        <v>1</v>
      </c>
      <c r="AF45" s="31">
        <f t="shared" si="16"/>
        <v>0</v>
      </c>
      <c r="AG45" s="31">
        <f t="shared" si="17"/>
        <v>0</v>
      </c>
      <c r="AH45" s="31">
        <f t="shared" si="18"/>
        <v>0</v>
      </c>
    </row>
    <row r="46" spans="1:48" x14ac:dyDescent="0.25">
      <c r="A46" s="9" t="s">
        <v>42</v>
      </c>
      <c r="B46" s="15" t="s">
        <v>43</v>
      </c>
      <c r="C46" s="72">
        <v>349</v>
      </c>
      <c r="D46" s="16">
        <f>21+0.75</f>
        <v>21.75</v>
      </c>
      <c r="E46" s="10">
        <v>68</v>
      </c>
      <c r="F46" s="14">
        <v>4.41E-2</v>
      </c>
      <c r="G46" s="64">
        <v>0.13696612665684832</v>
      </c>
      <c r="H46" s="64">
        <v>0.84946236559139787</v>
      </c>
      <c r="I46" s="16">
        <v>4</v>
      </c>
      <c r="J46" s="14">
        <f>(1-1)/41</f>
        <v>0</v>
      </c>
      <c r="K46" s="14">
        <f>40/41</f>
        <v>0.97560975609756095</v>
      </c>
      <c r="L46" s="16">
        <v>17.399999999999999</v>
      </c>
      <c r="M46" s="15">
        <f t="shared" si="19"/>
        <v>5</v>
      </c>
      <c r="N46" s="15">
        <f t="shared" si="20"/>
        <v>0</v>
      </c>
      <c r="O46" s="15">
        <f t="shared" si="3"/>
        <v>5</v>
      </c>
      <c r="P46" s="39"/>
      <c r="Q46" s="30">
        <f t="shared" si="4"/>
        <v>0</v>
      </c>
      <c r="R46" s="30">
        <f t="shared" si="5"/>
        <v>0</v>
      </c>
      <c r="S46" s="30">
        <f t="shared" si="6"/>
        <v>1</v>
      </c>
      <c r="T46" s="30">
        <f t="shared" si="7"/>
        <v>1</v>
      </c>
      <c r="U46" s="30">
        <f t="shared" si="8"/>
        <v>0</v>
      </c>
      <c r="V46" s="30">
        <f t="shared" si="9"/>
        <v>1</v>
      </c>
      <c r="W46" s="30">
        <f t="shared" si="10"/>
        <v>1</v>
      </c>
      <c r="X46" s="30">
        <f t="shared" si="11"/>
        <v>1</v>
      </c>
      <c r="Y46" s="43"/>
      <c r="Z46" s="43"/>
      <c r="AA46" s="31">
        <f t="shared" si="12"/>
        <v>0</v>
      </c>
      <c r="AB46" s="31">
        <f t="shared" si="13"/>
        <v>0</v>
      </c>
      <c r="AC46" s="31">
        <f t="shared" si="14"/>
        <v>0</v>
      </c>
      <c r="AD46" s="31">
        <f t="shared" si="15"/>
        <v>0</v>
      </c>
      <c r="AE46" s="31">
        <f t="shared" si="2"/>
        <v>0</v>
      </c>
      <c r="AF46" s="31">
        <f t="shared" si="16"/>
        <v>0</v>
      </c>
      <c r="AG46" s="31">
        <f t="shared" si="17"/>
        <v>0</v>
      </c>
      <c r="AH46" s="31">
        <f t="shared" si="18"/>
        <v>0</v>
      </c>
    </row>
    <row r="47" spans="1:48" x14ac:dyDescent="0.25">
      <c r="A47" s="20" t="s">
        <v>112</v>
      </c>
      <c r="B47" s="15" t="s">
        <v>43</v>
      </c>
      <c r="C47" s="72" t="s">
        <v>113</v>
      </c>
      <c r="D47" s="16">
        <v>29</v>
      </c>
      <c r="E47" s="10">
        <f>84+21</f>
        <v>105</v>
      </c>
      <c r="F47" s="14">
        <f>(0.0714*84+0.0476*21)/E47</f>
        <v>6.6640000000000005E-2</v>
      </c>
      <c r="G47" s="64">
        <f>(210+48)/(446+89)</f>
        <v>0.48224299065420562</v>
      </c>
      <c r="H47" s="64">
        <f>(70+22)/(210+48)</f>
        <v>0.35658914728682173</v>
      </c>
      <c r="I47" s="16">
        <v>4</v>
      </c>
      <c r="J47" s="14">
        <f>(15+2)/(46+9)</f>
        <v>0.30909090909090908</v>
      </c>
      <c r="K47" s="14">
        <f>(30+6)/(46+9)</f>
        <v>0.65454545454545454</v>
      </c>
      <c r="L47" s="16">
        <f>11.6+3</f>
        <v>14.6</v>
      </c>
      <c r="M47" s="15">
        <f t="shared" si="19"/>
        <v>2</v>
      </c>
      <c r="N47" s="15">
        <f t="shared" si="20"/>
        <v>2</v>
      </c>
      <c r="O47" s="15">
        <f t="shared" si="3"/>
        <v>0</v>
      </c>
      <c r="P47" s="39"/>
      <c r="Q47" s="30">
        <f t="shared" si="4"/>
        <v>1</v>
      </c>
      <c r="R47" s="30">
        <f t="shared" si="5"/>
        <v>0</v>
      </c>
      <c r="S47" s="30">
        <f t="shared" si="6"/>
        <v>0</v>
      </c>
      <c r="T47" s="30">
        <f t="shared" si="7"/>
        <v>0</v>
      </c>
      <c r="U47" s="30">
        <f t="shared" si="8"/>
        <v>0</v>
      </c>
      <c r="V47" s="30">
        <f t="shared" si="9"/>
        <v>0</v>
      </c>
      <c r="W47" s="30">
        <f t="shared" si="10"/>
        <v>0</v>
      </c>
      <c r="X47" s="30">
        <f t="shared" si="11"/>
        <v>1</v>
      </c>
      <c r="Y47" s="43"/>
      <c r="Z47" s="43"/>
      <c r="AA47" s="31">
        <f t="shared" si="12"/>
        <v>0</v>
      </c>
      <c r="AB47" s="31">
        <f t="shared" si="13"/>
        <v>0</v>
      </c>
      <c r="AC47" s="31">
        <f t="shared" si="14"/>
        <v>1</v>
      </c>
      <c r="AD47" s="31">
        <f t="shared" si="15"/>
        <v>1</v>
      </c>
      <c r="AE47" s="31">
        <f t="shared" si="2"/>
        <v>0</v>
      </c>
      <c r="AF47" s="31">
        <f t="shared" si="16"/>
        <v>0</v>
      </c>
      <c r="AG47" s="31">
        <f t="shared" si="17"/>
        <v>0</v>
      </c>
      <c r="AH47" s="31">
        <f t="shared" si="18"/>
        <v>0</v>
      </c>
    </row>
    <row r="48" spans="1:48" x14ac:dyDescent="0.25">
      <c r="A48" s="9" t="s">
        <v>51</v>
      </c>
      <c r="B48" s="15" t="s">
        <v>43</v>
      </c>
      <c r="C48" s="72">
        <v>45</v>
      </c>
      <c r="D48" s="16">
        <f>34+0.45+0.4</f>
        <v>34.85</v>
      </c>
      <c r="E48" s="10">
        <v>142</v>
      </c>
      <c r="F48" s="14">
        <v>1.41E-2</v>
      </c>
      <c r="G48" s="64">
        <v>0.41965811965811967</v>
      </c>
      <c r="H48" s="64">
        <v>0.31160896130346233</v>
      </c>
      <c r="I48" s="16">
        <v>4.3</v>
      </c>
      <c r="J48" s="14">
        <f>(53-7)/97</f>
        <v>0.47422680412371132</v>
      </c>
      <c r="K48" s="14">
        <f>44/97</f>
        <v>0.45360824742268041</v>
      </c>
      <c r="L48" s="16">
        <v>18.2</v>
      </c>
      <c r="M48" s="15">
        <f t="shared" si="19"/>
        <v>2</v>
      </c>
      <c r="N48" s="15">
        <f t="shared" si="20"/>
        <v>5</v>
      </c>
      <c r="O48" s="15">
        <f t="shared" si="3"/>
        <v>-3</v>
      </c>
      <c r="P48" s="39"/>
      <c r="Q48" s="30">
        <f t="shared" si="4"/>
        <v>1</v>
      </c>
      <c r="R48" s="30">
        <f t="shared" si="5"/>
        <v>0</v>
      </c>
      <c r="S48" s="30">
        <f t="shared" si="6"/>
        <v>0</v>
      </c>
      <c r="T48" s="30">
        <f t="shared" si="7"/>
        <v>0</v>
      </c>
      <c r="U48" s="30">
        <f t="shared" si="8"/>
        <v>0</v>
      </c>
      <c r="V48" s="30">
        <f t="shared" si="9"/>
        <v>0</v>
      </c>
      <c r="W48" s="30">
        <f t="shared" si="10"/>
        <v>0</v>
      </c>
      <c r="X48" s="30">
        <f t="shared" si="11"/>
        <v>1</v>
      </c>
      <c r="Y48" s="43"/>
      <c r="Z48" s="43"/>
      <c r="AA48" s="31">
        <f t="shared" si="12"/>
        <v>0</v>
      </c>
      <c r="AB48" s="31">
        <f t="shared" si="13"/>
        <v>1</v>
      </c>
      <c r="AC48" s="31">
        <f t="shared" si="14"/>
        <v>0</v>
      </c>
      <c r="AD48" s="31">
        <f t="shared" si="15"/>
        <v>1</v>
      </c>
      <c r="AE48" s="31">
        <f t="shared" si="2"/>
        <v>1</v>
      </c>
      <c r="AF48" s="31">
        <f t="shared" si="16"/>
        <v>1</v>
      </c>
      <c r="AG48" s="31">
        <f t="shared" si="17"/>
        <v>1</v>
      </c>
      <c r="AH48" s="31">
        <f t="shared" si="18"/>
        <v>0</v>
      </c>
    </row>
    <row r="49" spans="1:34" x14ac:dyDescent="0.25">
      <c r="A49" s="9" t="s">
        <v>48</v>
      </c>
      <c r="B49" s="15" t="s">
        <v>43</v>
      </c>
      <c r="C49" s="72">
        <v>56</v>
      </c>
      <c r="D49" s="16">
        <f>40+0.6+0.55+0.5</f>
        <v>41.65</v>
      </c>
      <c r="E49" s="10">
        <v>307</v>
      </c>
      <c r="F49" s="14">
        <v>5.21E-2</v>
      </c>
      <c r="G49" s="64">
        <v>0.53603798014674142</v>
      </c>
      <c r="H49" s="64">
        <v>0.22785829307568439</v>
      </c>
      <c r="I49" s="16">
        <v>3.7</v>
      </c>
      <c r="J49" s="14">
        <f>(36-8)/112</f>
        <v>0.25</v>
      </c>
      <c r="K49" s="14">
        <f>76/112</f>
        <v>0.6785714285714286</v>
      </c>
      <c r="L49" s="16">
        <v>33.799999999999997</v>
      </c>
      <c r="M49" s="15">
        <f t="shared" si="19"/>
        <v>3</v>
      </c>
      <c r="N49" s="15">
        <f t="shared" si="20"/>
        <v>2</v>
      </c>
      <c r="O49" s="15">
        <f t="shared" si="3"/>
        <v>1</v>
      </c>
      <c r="P49" s="39"/>
      <c r="Q49" s="30">
        <f t="shared" si="4"/>
        <v>1</v>
      </c>
      <c r="R49" s="30">
        <f t="shared" si="5"/>
        <v>0</v>
      </c>
      <c r="S49" s="30">
        <f t="shared" si="6"/>
        <v>0</v>
      </c>
      <c r="T49" s="30">
        <f t="shared" si="7"/>
        <v>0</v>
      </c>
      <c r="U49" s="30">
        <f t="shared" si="8"/>
        <v>1</v>
      </c>
      <c r="V49" s="30">
        <f t="shared" si="9"/>
        <v>0</v>
      </c>
      <c r="W49" s="30">
        <f t="shared" si="10"/>
        <v>0</v>
      </c>
      <c r="X49" s="30">
        <f t="shared" si="11"/>
        <v>1</v>
      </c>
      <c r="Y49" s="43"/>
      <c r="Z49" s="43"/>
      <c r="AA49" s="31">
        <f t="shared" si="12"/>
        <v>0</v>
      </c>
      <c r="AB49" s="31">
        <f t="shared" si="13"/>
        <v>0</v>
      </c>
      <c r="AC49" s="31">
        <f t="shared" si="14"/>
        <v>1</v>
      </c>
      <c r="AD49" s="31">
        <f t="shared" si="15"/>
        <v>1</v>
      </c>
      <c r="AE49" s="31">
        <f t="shared" si="2"/>
        <v>0</v>
      </c>
      <c r="AF49" s="31">
        <f t="shared" si="16"/>
        <v>0</v>
      </c>
      <c r="AG49" s="31">
        <f t="shared" si="17"/>
        <v>0</v>
      </c>
      <c r="AH49" s="31">
        <f t="shared" si="18"/>
        <v>0</v>
      </c>
    </row>
    <row r="50" spans="1:34" x14ac:dyDescent="0.25">
      <c r="A50" s="9" t="s">
        <v>47</v>
      </c>
      <c r="B50" s="15" t="s">
        <v>43</v>
      </c>
      <c r="C50" s="72">
        <v>63</v>
      </c>
      <c r="D50" s="16">
        <v>15</v>
      </c>
      <c r="E50" s="10">
        <v>61</v>
      </c>
      <c r="F50" s="14">
        <v>9.8400000000000001E-2</v>
      </c>
      <c r="G50" s="64">
        <v>0.265993265993266</v>
      </c>
      <c r="H50" s="64">
        <v>0.54430379746835444</v>
      </c>
      <c r="I50" s="16">
        <v>4</v>
      </c>
      <c r="J50" s="14">
        <f>(14-4)/34</f>
        <v>0.29411764705882354</v>
      </c>
      <c r="K50" s="14">
        <f>20/34</f>
        <v>0.58823529411764708</v>
      </c>
      <c r="L50" s="16">
        <v>9</v>
      </c>
      <c r="M50" s="15">
        <f t="shared" si="19"/>
        <v>0</v>
      </c>
      <c r="N50" s="15">
        <f t="shared" si="20"/>
        <v>0</v>
      </c>
      <c r="O50" s="15">
        <f t="shared" si="3"/>
        <v>0</v>
      </c>
      <c r="P50" s="39"/>
      <c r="Q50" s="30">
        <f t="shared" si="4"/>
        <v>0</v>
      </c>
      <c r="R50" s="30">
        <f t="shared" si="5"/>
        <v>0</v>
      </c>
      <c r="S50" s="30">
        <f t="shared" si="6"/>
        <v>0</v>
      </c>
      <c r="T50" s="30">
        <f t="shared" si="7"/>
        <v>0</v>
      </c>
      <c r="U50" s="30">
        <f t="shared" si="8"/>
        <v>0</v>
      </c>
      <c r="V50" s="30">
        <f t="shared" si="9"/>
        <v>0</v>
      </c>
      <c r="W50" s="30">
        <f t="shared" si="10"/>
        <v>0</v>
      </c>
      <c r="X50" s="30">
        <f t="shared" si="11"/>
        <v>0</v>
      </c>
      <c r="Y50" s="43"/>
      <c r="Z50" s="43"/>
      <c r="AA50" s="31">
        <f t="shared" si="12"/>
        <v>0</v>
      </c>
      <c r="AB50" s="31">
        <f t="shared" si="13"/>
        <v>0</v>
      </c>
      <c r="AC50" s="31">
        <f t="shared" si="14"/>
        <v>0</v>
      </c>
      <c r="AD50" s="31">
        <f t="shared" si="15"/>
        <v>0</v>
      </c>
      <c r="AE50" s="31">
        <f t="shared" si="2"/>
        <v>0</v>
      </c>
      <c r="AF50" s="31">
        <f t="shared" si="16"/>
        <v>0</v>
      </c>
      <c r="AG50" s="31">
        <f t="shared" si="17"/>
        <v>0</v>
      </c>
      <c r="AH50" s="31">
        <f t="shared" si="18"/>
        <v>0</v>
      </c>
    </row>
    <row r="51" spans="1:34" x14ac:dyDescent="0.25">
      <c r="A51" s="9" t="s">
        <v>46</v>
      </c>
      <c r="B51" s="15" t="s">
        <v>43</v>
      </c>
      <c r="C51" s="72">
        <v>83</v>
      </c>
      <c r="D51" s="16">
        <f>10+0.49+0.3</f>
        <v>10.790000000000001</v>
      </c>
      <c r="E51" s="10">
        <v>47</v>
      </c>
      <c r="F51" s="14">
        <v>0</v>
      </c>
      <c r="G51" s="64">
        <v>0.17443609022556392</v>
      </c>
      <c r="H51" s="64">
        <v>0.55172413793103448</v>
      </c>
      <c r="I51" s="16">
        <v>4</v>
      </c>
      <c r="J51" s="14">
        <f>(13-3)/38</f>
        <v>0.26315789473684209</v>
      </c>
      <c r="K51" s="14">
        <f>25/38</f>
        <v>0.65789473684210531</v>
      </c>
      <c r="L51" s="16">
        <v>8.1999999999999993</v>
      </c>
      <c r="M51" s="15">
        <f t="shared" si="19"/>
        <v>1</v>
      </c>
      <c r="N51" s="15">
        <f t="shared" si="20"/>
        <v>1</v>
      </c>
      <c r="O51" s="15">
        <f t="shared" si="3"/>
        <v>0</v>
      </c>
      <c r="P51" s="39"/>
      <c r="Q51" s="30">
        <f t="shared" si="4"/>
        <v>0</v>
      </c>
      <c r="R51" s="30">
        <f t="shared" si="5"/>
        <v>0</v>
      </c>
      <c r="S51" s="30">
        <f t="shared" si="6"/>
        <v>1</v>
      </c>
      <c r="T51" s="30">
        <f t="shared" si="7"/>
        <v>0</v>
      </c>
      <c r="U51" s="30">
        <f t="shared" si="8"/>
        <v>0</v>
      </c>
      <c r="V51" s="30">
        <f t="shared" si="9"/>
        <v>0</v>
      </c>
      <c r="W51" s="30">
        <f t="shared" si="10"/>
        <v>0</v>
      </c>
      <c r="X51" s="30">
        <f t="shared" si="11"/>
        <v>0</v>
      </c>
      <c r="Y51" s="43"/>
      <c r="Z51" s="43"/>
      <c r="AA51" s="31">
        <f t="shared" si="12"/>
        <v>0</v>
      </c>
      <c r="AB51" s="31">
        <f t="shared" si="13"/>
        <v>1</v>
      </c>
      <c r="AC51" s="31">
        <f t="shared" si="14"/>
        <v>0</v>
      </c>
      <c r="AD51" s="31">
        <f t="shared" si="15"/>
        <v>0</v>
      </c>
      <c r="AE51" s="31">
        <f t="shared" si="2"/>
        <v>0</v>
      </c>
      <c r="AF51" s="31">
        <f t="shared" si="16"/>
        <v>0</v>
      </c>
      <c r="AG51" s="31">
        <f t="shared" si="17"/>
        <v>0</v>
      </c>
      <c r="AH51" s="31">
        <f t="shared" si="18"/>
        <v>0</v>
      </c>
    </row>
    <row r="52" spans="1:34" x14ac:dyDescent="0.25">
      <c r="A52" s="9" t="s">
        <v>44</v>
      </c>
      <c r="B52" s="15" t="s">
        <v>43</v>
      </c>
      <c r="C52" s="72">
        <v>93</v>
      </c>
      <c r="D52" s="96">
        <f>28+0.6+0.5</f>
        <v>29.1</v>
      </c>
      <c r="E52" s="10">
        <v>166</v>
      </c>
      <c r="F52" s="14">
        <v>9.64E-2</v>
      </c>
      <c r="G52" s="64">
        <v>0.52511848341232226</v>
      </c>
      <c r="H52" s="64">
        <v>0.3176895306859206</v>
      </c>
      <c r="I52" s="16">
        <v>4</v>
      </c>
      <c r="J52" s="14">
        <f>(38-7)/137</f>
        <v>0.22627737226277372</v>
      </c>
      <c r="K52" s="14">
        <f>99/137</f>
        <v>0.72262773722627738</v>
      </c>
      <c r="L52" s="16">
        <v>32.6</v>
      </c>
      <c r="M52" s="15">
        <f t="shared" si="19"/>
        <v>3</v>
      </c>
      <c r="N52" s="15">
        <f t="shared" si="20"/>
        <v>2</v>
      </c>
      <c r="O52" s="15">
        <f t="shared" si="3"/>
        <v>1</v>
      </c>
      <c r="P52" s="39"/>
      <c r="Q52" s="30">
        <f t="shared" si="4"/>
        <v>1</v>
      </c>
      <c r="R52" s="30">
        <f t="shared" si="5"/>
        <v>0</v>
      </c>
      <c r="S52" s="30">
        <f t="shared" si="6"/>
        <v>0</v>
      </c>
      <c r="T52" s="30">
        <f t="shared" si="7"/>
        <v>0</v>
      </c>
      <c r="U52" s="30">
        <f t="shared" si="8"/>
        <v>0</v>
      </c>
      <c r="V52" s="30">
        <f t="shared" si="9"/>
        <v>1</v>
      </c>
      <c r="W52" s="30">
        <f t="shared" si="10"/>
        <v>0</v>
      </c>
      <c r="X52" s="30">
        <f t="shared" si="11"/>
        <v>1</v>
      </c>
      <c r="Y52" s="43"/>
      <c r="Z52" s="43"/>
      <c r="AA52" s="31">
        <f t="shared" si="12"/>
        <v>0</v>
      </c>
      <c r="AB52" s="31">
        <f t="shared" si="13"/>
        <v>0</v>
      </c>
      <c r="AC52" s="31">
        <f t="shared" si="14"/>
        <v>1</v>
      </c>
      <c r="AD52" s="31">
        <f t="shared" si="15"/>
        <v>1</v>
      </c>
      <c r="AE52" s="31">
        <f t="shared" si="2"/>
        <v>0</v>
      </c>
      <c r="AF52" s="31">
        <f t="shared" si="16"/>
        <v>0</v>
      </c>
      <c r="AG52" s="31">
        <f t="shared" si="17"/>
        <v>0</v>
      </c>
      <c r="AH52" s="31">
        <f t="shared" si="18"/>
        <v>0</v>
      </c>
    </row>
    <row r="53" spans="1:34" x14ac:dyDescent="0.25">
      <c r="A53" s="9" t="s">
        <v>45</v>
      </c>
      <c r="B53" s="15" t="s">
        <v>43</v>
      </c>
      <c r="C53" s="72">
        <v>103</v>
      </c>
      <c r="D53" s="96">
        <v>8</v>
      </c>
      <c r="E53" s="10">
        <v>29</v>
      </c>
      <c r="F53" s="14">
        <v>6.9000000000000006E-2</v>
      </c>
      <c r="G53" s="64">
        <v>0.19169329073482427</v>
      </c>
      <c r="H53" s="64">
        <v>0.6166666666666667</v>
      </c>
      <c r="I53" s="16">
        <v>3.7</v>
      </c>
      <c r="J53" s="14">
        <f>(5-2)/19</f>
        <v>0.15789473684210525</v>
      </c>
      <c r="K53" s="14">
        <f>14/19</f>
        <v>0.73684210526315785</v>
      </c>
      <c r="L53" s="16">
        <v>5.8</v>
      </c>
      <c r="M53" s="15">
        <f t="shared" si="19"/>
        <v>4</v>
      </c>
      <c r="N53" s="15">
        <f t="shared" si="20"/>
        <v>0</v>
      </c>
      <c r="O53" s="15">
        <f t="shared" si="3"/>
        <v>4</v>
      </c>
      <c r="P53" s="39"/>
      <c r="Q53" s="30">
        <f t="shared" si="4"/>
        <v>0</v>
      </c>
      <c r="R53" s="30">
        <f t="shared" si="5"/>
        <v>0</v>
      </c>
      <c r="S53" s="30">
        <f t="shared" si="6"/>
        <v>1</v>
      </c>
      <c r="T53" s="30">
        <f t="shared" si="7"/>
        <v>0</v>
      </c>
      <c r="U53" s="30">
        <f t="shared" si="8"/>
        <v>1</v>
      </c>
      <c r="V53" s="30">
        <f t="shared" si="9"/>
        <v>1</v>
      </c>
      <c r="W53" s="30">
        <f t="shared" si="10"/>
        <v>1</v>
      </c>
      <c r="X53" s="30">
        <f t="shared" si="11"/>
        <v>0</v>
      </c>
      <c r="Y53" s="43"/>
      <c r="Z53" s="43"/>
      <c r="AA53" s="31">
        <f t="shared" si="12"/>
        <v>0</v>
      </c>
      <c r="AB53" s="31">
        <f t="shared" si="13"/>
        <v>0</v>
      </c>
      <c r="AC53" s="31">
        <f t="shared" si="14"/>
        <v>0</v>
      </c>
      <c r="AD53" s="31">
        <f t="shared" si="15"/>
        <v>0</v>
      </c>
      <c r="AE53" s="31">
        <f t="shared" si="2"/>
        <v>0</v>
      </c>
      <c r="AF53" s="31">
        <f t="shared" si="16"/>
        <v>0</v>
      </c>
      <c r="AG53" s="31">
        <f t="shared" si="17"/>
        <v>0</v>
      </c>
      <c r="AH53" s="31">
        <f t="shared" si="18"/>
        <v>0</v>
      </c>
    </row>
    <row r="54" spans="1:34" x14ac:dyDescent="0.25">
      <c r="A54" s="21" t="s">
        <v>114</v>
      </c>
      <c r="B54" s="15" t="s">
        <v>52</v>
      </c>
      <c r="C54" s="72" t="s">
        <v>115</v>
      </c>
      <c r="D54" s="96">
        <v>34</v>
      </c>
      <c r="E54" s="10">
        <f>29+15</f>
        <v>44</v>
      </c>
      <c r="F54" s="14">
        <f>(3.45%*29+0.2667*15)/E54</f>
        <v>0.11365909090909089</v>
      </c>
      <c r="G54" s="64">
        <f>(26+22)/(72+40)</f>
        <v>0.42857142857142855</v>
      </c>
      <c r="H54" s="64">
        <f>(21+15)/(26+22)</f>
        <v>0.75</v>
      </c>
      <c r="I54" s="16">
        <v>4.3</v>
      </c>
      <c r="J54" s="14">
        <f>(4+3)/(18+11)</f>
        <v>0.2413793103448276</v>
      </c>
      <c r="K54" s="14">
        <f>(13+7)/(18+11)</f>
        <v>0.68965517241379315</v>
      </c>
      <c r="L54" s="16">
        <f>3+3</f>
        <v>6</v>
      </c>
      <c r="M54" s="15">
        <f t="shared" si="19"/>
        <v>0</v>
      </c>
      <c r="N54" s="15">
        <f t="shared" si="20"/>
        <v>1</v>
      </c>
      <c r="O54" s="15">
        <f t="shared" si="3"/>
        <v>-1</v>
      </c>
      <c r="P54" s="39"/>
      <c r="Q54" s="30">
        <f t="shared" si="4"/>
        <v>0</v>
      </c>
      <c r="R54" s="30">
        <f t="shared" si="5"/>
        <v>0</v>
      </c>
      <c r="S54" s="30">
        <f t="shared" si="6"/>
        <v>0</v>
      </c>
      <c r="T54" s="30">
        <f t="shared" si="7"/>
        <v>0</v>
      </c>
      <c r="U54" s="30">
        <f t="shared" si="8"/>
        <v>0</v>
      </c>
      <c r="V54" s="30">
        <f t="shared" si="9"/>
        <v>0</v>
      </c>
      <c r="W54" s="30">
        <f t="shared" si="10"/>
        <v>0</v>
      </c>
      <c r="X54" s="30">
        <f t="shared" si="11"/>
        <v>0</v>
      </c>
      <c r="Y54" s="43"/>
      <c r="Z54" s="43"/>
      <c r="AA54" s="31">
        <f t="shared" si="12"/>
        <v>0</v>
      </c>
      <c r="AB54" s="31">
        <f t="shared" si="13"/>
        <v>0</v>
      </c>
      <c r="AC54" s="31">
        <f t="shared" si="14"/>
        <v>0</v>
      </c>
      <c r="AD54" s="31">
        <f t="shared" si="15"/>
        <v>0</v>
      </c>
      <c r="AE54" s="31">
        <f t="shared" si="2"/>
        <v>1</v>
      </c>
      <c r="AF54" s="31">
        <f t="shared" si="16"/>
        <v>0</v>
      </c>
      <c r="AG54" s="31">
        <f t="shared" si="17"/>
        <v>0</v>
      </c>
      <c r="AH54" s="31">
        <f t="shared" si="18"/>
        <v>0</v>
      </c>
    </row>
    <row r="55" spans="1:34" x14ac:dyDescent="0.25">
      <c r="A55" s="9" t="s">
        <v>53</v>
      </c>
      <c r="B55" s="15" t="s">
        <v>54</v>
      </c>
      <c r="C55" s="72">
        <v>77</v>
      </c>
      <c r="D55" s="96">
        <v>45.03</v>
      </c>
      <c r="E55" s="11">
        <v>71</v>
      </c>
      <c r="F55" s="14">
        <v>0.11269999999999999</v>
      </c>
      <c r="G55" s="64">
        <v>0.19471153846153846</v>
      </c>
      <c r="H55" s="64">
        <v>0.75308641975308643</v>
      </c>
      <c r="I55" s="16">
        <v>4</v>
      </c>
      <c r="J55" s="14">
        <f>(28-3)/63</f>
        <v>0.3968253968253968</v>
      </c>
      <c r="K55" s="14">
        <f>35/63</f>
        <v>0.55555555555555558</v>
      </c>
      <c r="L55" s="16">
        <v>14.2</v>
      </c>
      <c r="M55" s="15">
        <f t="shared" si="19"/>
        <v>2</v>
      </c>
      <c r="N55" s="15">
        <f t="shared" si="20"/>
        <v>1</v>
      </c>
      <c r="O55" s="15">
        <f t="shared" si="3"/>
        <v>1</v>
      </c>
      <c r="P55" s="39"/>
      <c r="Q55" s="30">
        <f t="shared" si="4"/>
        <v>0</v>
      </c>
      <c r="R55" s="30">
        <f t="shared" si="5"/>
        <v>0</v>
      </c>
      <c r="S55" s="30">
        <f t="shared" si="6"/>
        <v>1</v>
      </c>
      <c r="T55" s="30">
        <f t="shared" si="7"/>
        <v>0</v>
      </c>
      <c r="U55" s="30">
        <f t="shared" si="8"/>
        <v>0</v>
      </c>
      <c r="V55" s="30">
        <f t="shared" si="9"/>
        <v>0</v>
      </c>
      <c r="W55" s="30">
        <f t="shared" si="10"/>
        <v>0</v>
      </c>
      <c r="X55" s="30">
        <f t="shared" si="11"/>
        <v>1</v>
      </c>
      <c r="Y55" s="43"/>
      <c r="Z55" s="43"/>
      <c r="AA55" s="31">
        <f t="shared" si="12"/>
        <v>0</v>
      </c>
      <c r="AB55" s="31">
        <f t="shared" si="13"/>
        <v>0</v>
      </c>
      <c r="AC55" s="31">
        <f t="shared" si="14"/>
        <v>0</v>
      </c>
      <c r="AD55" s="31">
        <f t="shared" si="15"/>
        <v>0</v>
      </c>
      <c r="AE55" s="31">
        <f t="shared" si="2"/>
        <v>0</v>
      </c>
      <c r="AF55" s="31">
        <f t="shared" si="16"/>
        <v>1</v>
      </c>
      <c r="AG55" s="31">
        <f t="shared" si="17"/>
        <v>0</v>
      </c>
      <c r="AH55" s="31">
        <f t="shared" si="18"/>
        <v>0</v>
      </c>
    </row>
    <row r="56" spans="1:34" x14ac:dyDescent="0.25">
      <c r="A56" s="9" t="s">
        <v>55</v>
      </c>
      <c r="B56" s="15" t="s">
        <v>56</v>
      </c>
      <c r="C56" s="72">
        <v>92</v>
      </c>
      <c r="D56" s="96">
        <v>47.25</v>
      </c>
      <c r="E56" s="11">
        <v>75</v>
      </c>
      <c r="F56" s="14">
        <v>9.3299999999999994E-2</v>
      </c>
      <c r="G56" s="64">
        <v>0.41749999999999998</v>
      </c>
      <c r="H56" s="64">
        <v>0.3592814371257485</v>
      </c>
      <c r="I56" s="16">
        <v>3.3</v>
      </c>
      <c r="J56" s="14">
        <f>(12-3)/38</f>
        <v>0.23684210526315788</v>
      </c>
      <c r="K56" s="14">
        <f>26/38</f>
        <v>0.68421052631578949</v>
      </c>
      <c r="L56" s="16">
        <v>10.6</v>
      </c>
      <c r="M56" s="15">
        <f t="shared" si="19"/>
        <v>1</v>
      </c>
      <c r="N56" s="15">
        <f t="shared" si="20"/>
        <v>1</v>
      </c>
      <c r="O56" s="15">
        <f t="shared" si="3"/>
        <v>0</v>
      </c>
      <c r="P56" s="39"/>
      <c r="Q56" s="30">
        <f t="shared" si="4"/>
        <v>0</v>
      </c>
      <c r="R56" s="30">
        <f t="shared" si="5"/>
        <v>0</v>
      </c>
      <c r="S56" s="30">
        <f t="shared" si="6"/>
        <v>0</v>
      </c>
      <c r="T56" s="30">
        <f t="shared" si="7"/>
        <v>0</v>
      </c>
      <c r="U56" s="30">
        <f t="shared" si="8"/>
        <v>1</v>
      </c>
      <c r="V56" s="30">
        <f t="shared" si="9"/>
        <v>0</v>
      </c>
      <c r="W56" s="30">
        <f t="shared" si="10"/>
        <v>0</v>
      </c>
      <c r="X56" s="30">
        <f t="shared" si="11"/>
        <v>0</v>
      </c>
      <c r="Y56" s="43"/>
      <c r="Z56" s="43"/>
      <c r="AA56" s="31">
        <f t="shared" si="12"/>
        <v>0</v>
      </c>
      <c r="AB56" s="31">
        <f t="shared" si="13"/>
        <v>0</v>
      </c>
      <c r="AC56" s="31">
        <f t="shared" si="14"/>
        <v>0</v>
      </c>
      <c r="AD56" s="31">
        <f t="shared" si="15"/>
        <v>1</v>
      </c>
      <c r="AE56" s="31">
        <f t="shared" si="2"/>
        <v>0</v>
      </c>
      <c r="AF56" s="31">
        <f t="shared" si="16"/>
        <v>0</v>
      </c>
      <c r="AG56" s="31">
        <f t="shared" si="17"/>
        <v>0</v>
      </c>
      <c r="AH56" s="31">
        <f t="shared" si="18"/>
        <v>0</v>
      </c>
    </row>
    <row r="57" spans="1:34" x14ac:dyDescent="0.25">
      <c r="A57" s="9" t="s">
        <v>59</v>
      </c>
      <c r="B57" s="15" t="s">
        <v>60</v>
      </c>
      <c r="C57" s="72">
        <v>105</v>
      </c>
      <c r="D57" s="96">
        <f>21+0.5+0.5</f>
        <v>22</v>
      </c>
      <c r="E57" s="11">
        <v>28</v>
      </c>
      <c r="F57" s="14">
        <v>0.1071</v>
      </c>
      <c r="G57" s="64">
        <v>0.32110091743119268</v>
      </c>
      <c r="H57" s="64">
        <v>0.8571428571428571</v>
      </c>
      <c r="I57" s="16">
        <v>4</v>
      </c>
      <c r="J57" s="14">
        <f>(13-3)/28</f>
        <v>0.35714285714285715</v>
      </c>
      <c r="K57" s="14">
        <f>15/28</f>
        <v>0.5357142857142857</v>
      </c>
      <c r="L57" s="16">
        <v>6.2</v>
      </c>
      <c r="M57" s="15">
        <f t="shared" si="19"/>
        <v>1</v>
      </c>
      <c r="N57" s="15">
        <f t="shared" si="20"/>
        <v>2</v>
      </c>
      <c r="O57" s="15">
        <f t="shared" si="3"/>
        <v>-1</v>
      </c>
      <c r="P57" s="39"/>
      <c r="Q57" s="30">
        <f t="shared" si="4"/>
        <v>0</v>
      </c>
      <c r="R57" s="30">
        <f t="shared" si="5"/>
        <v>0</v>
      </c>
      <c r="S57" s="30">
        <f t="shared" si="6"/>
        <v>0</v>
      </c>
      <c r="T57" s="30">
        <f t="shared" si="7"/>
        <v>1</v>
      </c>
      <c r="U57" s="30">
        <f t="shared" si="8"/>
        <v>0</v>
      </c>
      <c r="V57" s="30">
        <f t="shared" si="9"/>
        <v>0</v>
      </c>
      <c r="W57" s="30">
        <f t="shared" si="10"/>
        <v>0</v>
      </c>
      <c r="X57" s="30">
        <f t="shared" si="11"/>
        <v>0</v>
      </c>
      <c r="Y57" s="43"/>
      <c r="Z57" s="43"/>
      <c r="AA57" s="31">
        <f t="shared" si="12"/>
        <v>1</v>
      </c>
      <c r="AB57" s="31">
        <f t="shared" si="13"/>
        <v>0</v>
      </c>
      <c r="AC57" s="31">
        <f t="shared" si="14"/>
        <v>0</v>
      </c>
      <c r="AD57" s="31">
        <f t="shared" si="15"/>
        <v>0</v>
      </c>
      <c r="AE57" s="31">
        <f t="shared" si="2"/>
        <v>0</v>
      </c>
      <c r="AF57" s="31">
        <f t="shared" si="16"/>
        <v>1</v>
      </c>
      <c r="AG57" s="31">
        <f t="shared" si="17"/>
        <v>0</v>
      </c>
      <c r="AH57" s="31">
        <f t="shared" si="18"/>
        <v>0</v>
      </c>
    </row>
    <row r="58" spans="1:34" ht="14.25" customHeight="1" x14ac:dyDescent="0.25">
      <c r="A58" s="9" t="s">
        <v>61</v>
      </c>
      <c r="B58" s="15" t="s">
        <v>62</v>
      </c>
      <c r="C58" s="72">
        <v>107</v>
      </c>
      <c r="D58" s="96">
        <v>43</v>
      </c>
      <c r="E58" s="11">
        <v>80</v>
      </c>
      <c r="F58" s="14">
        <v>7.4999999999999997E-2</v>
      </c>
      <c r="G58" s="64">
        <v>0.15099009900990099</v>
      </c>
      <c r="H58" s="64">
        <v>0.78688524590163933</v>
      </c>
      <c r="I58" s="16">
        <v>4</v>
      </c>
      <c r="J58" s="14">
        <f>(14-3)/53</f>
        <v>0.20754716981132076</v>
      </c>
      <c r="K58" s="14">
        <f>39/53</f>
        <v>0.73584905660377353</v>
      </c>
      <c r="L58" s="16">
        <v>13.6</v>
      </c>
      <c r="M58" s="15">
        <f t="shared" si="19"/>
        <v>5</v>
      </c>
      <c r="N58" s="15">
        <f t="shared" si="20"/>
        <v>0</v>
      </c>
      <c r="O58" s="15">
        <f t="shared" si="3"/>
        <v>5</v>
      </c>
      <c r="P58" s="39"/>
      <c r="Q58" s="30">
        <f t="shared" si="4"/>
        <v>1</v>
      </c>
      <c r="R58" s="30">
        <f t="shared" si="5"/>
        <v>0</v>
      </c>
      <c r="S58" s="30">
        <f t="shared" si="6"/>
        <v>1</v>
      </c>
      <c r="T58" s="30">
        <f t="shared" si="7"/>
        <v>0</v>
      </c>
      <c r="U58" s="30">
        <f t="shared" si="8"/>
        <v>0</v>
      </c>
      <c r="V58" s="30">
        <f t="shared" si="9"/>
        <v>1</v>
      </c>
      <c r="W58" s="30">
        <f t="shared" si="10"/>
        <v>1</v>
      </c>
      <c r="X58" s="30">
        <f t="shared" si="11"/>
        <v>1</v>
      </c>
      <c r="Y58" s="43"/>
      <c r="Z58" s="43"/>
      <c r="AA58" s="31">
        <f t="shared" si="12"/>
        <v>0</v>
      </c>
      <c r="AB58" s="31">
        <f t="shared" si="13"/>
        <v>0</v>
      </c>
      <c r="AC58" s="31">
        <f t="shared" si="14"/>
        <v>0</v>
      </c>
      <c r="AD58" s="31">
        <f t="shared" si="15"/>
        <v>0</v>
      </c>
      <c r="AE58" s="31">
        <f t="shared" si="2"/>
        <v>0</v>
      </c>
      <c r="AF58" s="31">
        <f t="shared" si="16"/>
        <v>0</v>
      </c>
      <c r="AG58" s="31">
        <f t="shared" si="17"/>
        <v>0</v>
      </c>
      <c r="AH58" s="31">
        <f t="shared" si="18"/>
        <v>0</v>
      </c>
    </row>
    <row r="59" spans="1:34" x14ac:dyDescent="0.25">
      <c r="A59" s="9" t="s">
        <v>22</v>
      </c>
      <c r="B59" s="15" t="s">
        <v>63</v>
      </c>
      <c r="C59" s="72">
        <v>520</v>
      </c>
      <c r="D59" s="96">
        <f>6+0.25+0.4+0.5+(8*0.8)+(2*0.9)</f>
        <v>15.350000000000001</v>
      </c>
      <c r="E59" s="10">
        <v>19</v>
      </c>
      <c r="F59" s="14">
        <v>0.15790000000000001</v>
      </c>
      <c r="G59" s="64">
        <v>0.29411764705882354</v>
      </c>
      <c r="H59" s="64">
        <v>0.66666666666666663</v>
      </c>
      <c r="I59" s="16">
        <v>4.7</v>
      </c>
      <c r="J59" s="14">
        <f>(3-1)/17</f>
        <v>0.11764705882352941</v>
      </c>
      <c r="K59" s="14">
        <f>14/17</f>
        <v>0.82352941176470584</v>
      </c>
      <c r="L59" s="16">
        <v>3.8</v>
      </c>
      <c r="M59" s="15">
        <f t="shared" si="19"/>
        <v>3</v>
      </c>
      <c r="N59" s="15">
        <f t="shared" si="20"/>
        <v>3</v>
      </c>
      <c r="O59" s="15">
        <f t="shared" si="3"/>
        <v>0</v>
      </c>
      <c r="P59" s="39"/>
      <c r="Q59" s="30">
        <f t="shared" si="4"/>
        <v>0</v>
      </c>
      <c r="R59" s="30">
        <f t="shared" si="5"/>
        <v>1</v>
      </c>
      <c r="S59" s="30">
        <f t="shared" si="6"/>
        <v>0</v>
      </c>
      <c r="T59" s="30">
        <f t="shared" si="7"/>
        <v>0</v>
      </c>
      <c r="U59" s="30">
        <f t="shared" si="8"/>
        <v>0</v>
      </c>
      <c r="V59" s="30">
        <f t="shared" si="9"/>
        <v>1</v>
      </c>
      <c r="W59" s="30">
        <f t="shared" si="10"/>
        <v>1</v>
      </c>
      <c r="X59" s="30">
        <f t="shared" si="11"/>
        <v>0</v>
      </c>
      <c r="Y59" s="43"/>
      <c r="Z59" s="43"/>
      <c r="AA59" s="31">
        <f t="shared" si="12"/>
        <v>1</v>
      </c>
      <c r="AB59" s="31">
        <f t="shared" si="13"/>
        <v>0</v>
      </c>
      <c r="AC59" s="31">
        <f t="shared" si="14"/>
        <v>0</v>
      </c>
      <c r="AD59" s="31">
        <f t="shared" si="15"/>
        <v>0</v>
      </c>
      <c r="AE59" s="31">
        <f t="shared" si="2"/>
        <v>1</v>
      </c>
      <c r="AF59" s="31">
        <f t="shared" si="16"/>
        <v>0</v>
      </c>
      <c r="AG59" s="31">
        <f t="shared" si="17"/>
        <v>0</v>
      </c>
      <c r="AH59" s="31">
        <f t="shared" si="18"/>
        <v>1</v>
      </c>
    </row>
    <row r="60" spans="1:34" x14ac:dyDescent="0.25">
      <c r="A60" s="9" t="s">
        <v>65</v>
      </c>
      <c r="B60" s="15" t="s">
        <v>63</v>
      </c>
      <c r="C60" s="72">
        <v>79</v>
      </c>
      <c r="D60" s="96">
        <f>9+5</f>
        <v>14</v>
      </c>
      <c r="E60" s="10">
        <v>25</v>
      </c>
      <c r="F60" s="14">
        <v>0.32</v>
      </c>
      <c r="G60" s="64">
        <v>0.48</v>
      </c>
      <c r="H60" s="64">
        <v>0.52777777777777779</v>
      </c>
      <c r="I60" s="16">
        <v>3.3</v>
      </c>
      <c r="J60" s="14">
        <f>(8-2)/14</f>
        <v>0.42857142857142855</v>
      </c>
      <c r="K60" s="14">
        <f>6/14</f>
        <v>0.42857142857142855</v>
      </c>
      <c r="L60" s="16">
        <v>2.2000000000000002</v>
      </c>
      <c r="M60" s="15">
        <f t="shared" si="19"/>
        <v>2</v>
      </c>
      <c r="N60" s="15">
        <f t="shared" si="20"/>
        <v>5</v>
      </c>
      <c r="O60" s="15">
        <f t="shared" si="3"/>
        <v>-3</v>
      </c>
      <c r="P60" s="39"/>
      <c r="Q60" s="30">
        <f t="shared" si="4"/>
        <v>0</v>
      </c>
      <c r="R60" s="30">
        <f t="shared" si="5"/>
        <v>1</v>
      </c>
      <c r="S60" s="30">
        <f t="shared" si="6"/>
        <v>0</v>
      </c>
      <c r="T60" s="30">
        <f t="shared" si="7"/>
        <v>0</v>
      </c>
      <c r="U60" s="30">
        <f t="shared" si="8"/>
        <v>1</v>
      </c>
      <c r="V60" s="30">
        <f t="shared" si="9"/>
        <v>0</v>
      </c>
      <c r="W60" s="30">
        <f t="shared" si="10"/>
        <v>0</v>
      </c>
      <c r="X60" s="30">
        <f t="shared" si="11"/>
        <v>0</v>
      </c>
      <c r="Y60" s="43"/>
      <c r="Z60" s="43"/>
      <c r="AA60" s="31">
        <f t="shared" si="12"/>
        <v>1</v>
      </c>
      <c r="AB60" s="31">
        <f t="shared" si="13"/>
        <v>0</v>
      </c>
      <c r="AC60" s="31">
        <f t="shared" si="14"/>
        <v>1</v>
      </c>
      <c r="AD60" s="31">
        <f t="shared" si="15"/>
        <v>0</v>
      </c>
      <c r="AE60" s="31">
        <f t="shared" si="2"/>
        <v>0</v>
      </c>
      <c r="AF60" s="31">
        <f t="shared" si="16"/>
        <v>1</v>
      </c>
      <c r="AG60" s="31">
        <f t="shared" si="17"/>
        <v>1</v>
      </c>
      <c r="AH60" s="31">
        <f t="shared" si="18"/>
        <v>1</v>
      </c>
    </row>
    <row r="61" spans="1:34" ht="13.5" customHeight="1" x14ac:dyDescent="0.25">
      <c r="A61" s="9" t="s">
        <v>23</v>
      </c>
      <c r="B61" s="15" t="s">
        <v>63</v>
      </c>
      <c r="C61" s="72">
        <v>115</v>
      </c>
      <c r="D61" s="96">
        <f>22+0.2+0.2+0.5+0.75</f>
        <v>23.65</v>
      </c>
      <c r="E61" s="10">
        <v>64</v>
      </c>
      <c r="F61" s="14">
        <v>0.1094</v>
      </c>
      <c r="G61" s="64">
        <v>8.7982832618025753E-2</v>
      </c>
      <c r="H61" s="64">
        <v>0.74634146341463414</v>
      </c>
      <c r="I61" s="16">
        <v>4.3</v>
      </c>
      <c r="J61" s="14">
        <f>(4-2)/28</f>
        <v>7.1428571428571425E-2</v>
      </c>
      <c r="K61" s="14">
        <f>24/28</f>
        <v>0.8571428571428571</v>
      </c>
      <c r="L61" s="16">
        <v>12.4</v>
      </c>
      <c r="M61" s="15">
        <f t="shared" si="19"/>
        <v>4</v>
      </c>
      <c r="N61" s="15">
        <f t="shared" si="20"/>
        <v>1</v>
      </c>
      <c r="O61" s="15">
        <f t="shared" si="3"/>
        <v>3</v>
      </c>
      <c r="P61" s="39"/>
      <c r="Q61" s="30">
        <f t="shared" si="4"/>
        <v>0</v>
      </c>
      <c r="R61" s="30">
        <f t="shared" si="5"/>
        <v>0</v>
      </c>
      <c r="S61" s="30">
        <f t="shared" si="6"/>
        <v>1</v>
      </c>
      <c r="T61" s="30">
        <f t="shared" si="7"/>
        <v>0</v>
      </c>
      <c r="U61" s="30">
        <f t="shared" si="8"/>
        <v>0</v>
      </c>
      <c r="V61" s="30">
        <f t="shared" si="9"/>
        <v>1</v>
      </c>
      <c r="W61" s="30">
        <f t="shared" si="10"/>
        <v>1</v>
      </c>
      <c r="X61" s="30">
        <f t="shared" si="11"/>
        <v>1</v>
      </c>
      <c r="Y61" s="43"/>
      <c r="Z61" s="43"/>
      <c r="AA61" s="31">
        <f t="shared" si="12"/>
        <v>0</v>
      </c>
      <c r="AB61" s="31">
        <f t="shared" si="13"/>
        <v>0</v>
      </c>
      <c r="AC61" s="31">
        <f t="shared" si="14"/>
        <v>0</v>
      </c>
      <c r="AD61" s="31">
        <f t="shared" si="15"/>
        <v>0</v>
      </c>
      <c r="AE61" s="31">
        <f t="shared" si="2"/>
        <v>1</v>
      </c>
      <c r="AF61" s="31">
        <f t="shared" si="16"/>
        <v>0</v>
      </c>
      <c r="AG61" s="31">
        <f t="shared" si="17"/>
        <v>0</v>
      </c>
      <c r="AH61" s="31">
        <f t="shared" si="18"/>
        <v>0</v>
      </c>
    </row>
    <row r="62" spans="1:34" x14ac:dyDescent="0.25">
      <c r="A62" s="9" t="s">
        <v>64</v>
      </c>
      <c r="B62" s="15" t="s">
        <v>63</v>
      </c>
      <c r="C62" s="72">
        <v>120</v>
      </c>
      <c r="D62" s="96">
        <f>3+0.2+0.6+9+0.2+0.2+0.58+0.63</f>
        <v>14.41</v>
      </c>
      <c r="E62" s="10">
        <v>41</v>
      </c>
      <c r="F62" s="14">
        <v>0.1615</v>
      </c>
      <c r="G62" s="64">
        <v>0.37704918032786883</v>
      </c>
      <c r="H62" s="64">
        <v>0.76086956521739135</v>
      </c>
      <c r="I62" s="16">
        <v>4.3</v>
      </c>
      <c r="J62" s="14">
        <f>(8-2)/39</f>
        <v>0.15384615384615385</v>
      </c>
      <c r="K62" s="14">
        <f>31/39</f>
        <v>0.79487179487179482</v>
      </c>
      <c r="L62" s="16">
        <v>9.4</v>
      </c>
      <c r="M62" s="15">
        <f t="shared" si="19"/>
        <v>3</v>
      </c>
      <c r="N62" s="15">
        <f t="shared" si="20"/>
        <v>1</v>
      </c>
      <c r="O62" s="15">
        <f t="shared" si="3"/>
        <v>2</v>
      </c>
      <c r="P62" s="39"/>
      <c r="Q62" s="30">
        <f t="shared" si="4"/>
        <v>0</v>
      </c>
      <c r="R62" s="30">
        <f t="shared" si="5"/>
        <v>1</v>
      </c>
      <c r="S62" s="30">
        <f t="shared" si="6"/>
        <v>0</v>
      </c>
      <c r="T62" s="30">
        <f t="shared" si="7"/>
        <v>0</v>
      </c>
      <c r="U62" s="30">
        <f t="shared" si="8"/>
        <v>0</v>
      </c>
      <c r="V62" s="30">
        <f t="shared" si="9"/>
        <v>1</v>
      </c>
      <c r="W62" s="30">
        <f t="shared" si="10"/>
        <v>1</v>
      </c>
      <c r="X62" s="30">
        <f t="shared" si="11"/>
        <v>0</v>
      </c>
      <c r="Y62" s="43"/>
      <c r="Z62" s="43"/>
      <c r="AA62" s="31">
        <f t="shared" si="12"/>
        <v>0</v>
      </c>
      <c r="AB62" s="31">
        <f t="shared" si="13"/>
        <v>0</v>
      </c>
      <c r="AC62" s="31">
        <f t="shared" si="14"/>
        <v>0</v>
      </c>
      <c r="AD62" s="31">
        <f t="shared" si="15"/>
        <v>0</v>
      </c>
      <c r="AE62" s="31">
        <f t="shared" si="2"/>
        <v>1</v>
      </c>
      <c r="AF62" s="31">
        <f t="shared" si="16"/>
        <v>0</v>
      </c>
      <c r="AG62" s="31">
        <f t="shared" si="17"/>
        <v>0</v>
      </c>
      <c r="AH62" s="31">
        <f t="shared" si="18"/>
        <v>0</v>
      </c>
    </row>
    <row r="63" spans="1:34" x14ac:dyDescent="0.25">
      <c r="A63" s="9" t="s">
        <v>66</v>
      </c>
      <c r="B63" s="15" t="s">
        <v>67</v>
      </c>
      <c r="C63" s="72">
        <v>137</v>
      </c>
      <c r="D63" s="96">
        <v>77</v>
      </c>
      <c r="E63" s="11">
        <v>40</v>
      </c>
      <c r="F63" s="14">
        <v>7.4999999999999997E-2</v>
      </c>
      <c r="G63" s="64">
        <v>0.42735042735042733</v>
      </c>
      <c r="H63" s="64">
        <v>0.84</v>
      </c>
      <c r="I63" s="16">
        <v>4.3</v>
      </c>
      <c r="J63" s="14">
        <f>(9-2)/25</f>
        <v>0.28000000000000003</v>
      </c>
      <c r="K63" s="14">
        <f>16/25</f>
        <v>0.64</v>
      </c>
      <c r="L63" s="16">
        <v>6.4</v>
      </c>
      <c r="M63" s="15">
        <f t="shared" si="19"/>
        <v>1</v>
      </c>
      <c r="N63" s="15">
        <f t="shared" si="20"/>
        <v>1</v>
      </c>
      <c r="O63" s="15">
        <f t="shared" si="3"/>
        <v>0</v>
      </c>
      <c r="P63" s="39"/>
      <c r="Q63" s="30">
        <f t="shared" si="4"/>
        <v>0</v>
      </c>
      <c r="R63" s="30">
        <f t="shared" si="5"/>
        <v>0</v>
      </c>
      <c r="S63" s="30">
        <f t="shared" si="6"/>
        <v>0</v>
      </c>
      <c r="T63" s="30">
        <f t="shared" si="7"/>
        <v>1</v>
      </c>
      <c r="U63" s="30">
        <f t="shared" si="8"/>
        <v>0</v>
      </c>
      <c r="V63" s="30">
        <f t="shared" si="9"/>
        <v>0</v>
      </c>
      <c r="W63" s="30">
        <f t="shared" si="10"/>
        <v>0</v>
      </c>
      <c r="X63" s="30">
        <f t="shared" si="11"/>
        <v>0</v>
      </c>
      <c r="Y63" s="43"/>
      <c r="Z63" s="43"/>
      <c r="AA63" s="31">
        <f t="shared" si="12"/>
        <v>0</v>
      </c>
      <c r="AB63" s="31">
        <f t="shared" si="13"/>
        <v>0</v>
      </c>
      <c r="AC63" s="31">
        <f t="shared" si="14"/>
        <v>0</v>
      </c>
      <c r="AD63" s="31">
        <f t="shared" si="15"/>
        <v>0</v>
      </c>
      <c r="AE63" s="31">
        <f t="shared" si="2"/>
        <v>1</v>
      </c>
      <c r="AF63" s="31">
        <f t="shared" si="16"/>
        <v>0</v>
      </c>
      <c r="AG63" s="31">
        <f t="shared" si="17"/>
        <v>0</v>
      </c>
      <c r="AH63" s="31">
        <f t="shared" si="18"/>
        <v>0</v>
      </c>
    </row>
    <row r="64" spans="1:34" x14ac:dyDescent="0.25">
      <c r="A64" s="50"/>
      <c r="B64" s="54"/>
      <c r="C64" s="73"/>
      <c r="D64" s="54"/>
      <c r="E64" s="50"/>
      <c r="F64" s="50"/>
      <c r="G64" s="65"/>
      <c r="H64" s="65"/>
      <c r="I64" s="51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</row>
    <row r="65" spans="1:26" s="17" customFormat="1" x14ac:dyDescent="0.25">
      <c r="B65" s="55"/>
      <c r="C65" s="74"/>
      <c r="D65" s="55"/>
      <c r="G65" s="66"/>
      <c r="H65" s="66"/>
      <c r="I65" s="52"/>
    </row>
    <row r="66" spans="1:26" x14ac:dyDescent="0.25">
      <c r="A66" s="32" t="s">
        <v>68</v>
      </c>
      <c r="B66" s="55"/>
      <c r="C66" s="74"/>
      <c r="D66" s="55"/>
      <c r="E66" s="17"/>
      <c r="I66" s="45"/>
      <c r="P66"/>
      <c r="Y66"/>
      <c r="Z66"/>
    </row>
    <row r="67" spans="1:26" ht="13.5" customHeight="1" x14ac:dyDescent="0.25">
      <c r="A67" s="9" t="s">
        <v>69</v>
      </c>
      <c r="B67" s="15" t="s">
        <v>5</v>
      </c>
      <c r="C67" s="72">
        <v>474</v>
      </c>
      <c r="D67" s="15"/>
      <c r="E67" s="11">
        <v>14</v>
      </c>
      <c r="F67" s="14">
        <v>7.1400000000000005E-2</v>
      </c>
      <c r="G67" s="64">
        <v>0.35714285714285715</v>
      </c>
      <c r="H67" s="64">
        <v>0.8</v>
      </c>
      <c r="I67" s="16">
        <v>2</v>
      </c>
      <c r="J67" s="14">
        <v>0</v>
      </c>
      <c r="K67" s="14">
        <v>0</v>
      </c>
      <c r="L67" s="15">
        <v>1.2</v>
      </c>
      <c r="P67"/>
      <c r="Y67"/>
      <c r="Z67"/>
    </row>
    <row r="68" spans="1:26" x14ac:dyDescent="0.25">
      <c r="A68" s="27" t="s">
        <v>86</v>
      </c>
      <c r="B68" s="15" t="s">
        <v>5</v>
      </c>
      <c r="C68" s="72">
        <v>519</v>
      </c>
      <c r="D68" s="15"/>
      <c r="E68" s="11">
        <v>12</v>
      </c>
      <c r="F68" s="14">
        <v>0</v>
      </c>
      <c r="G68" s="64">
        <v>0</v>
      </c>
      <c r="H68" s="64">
        <v>0</v>
      </c>
      <c r="I68" s="16">
        <v>0</v>
      </c>
      <c r="J68" s="14">
        <v>0</v>
      </c>
      <c r="K68" s="14">
        <v>0</v>
      </c>
      <c r="L68" s="15">
        <v>0</v>
      </c>
      <c r="P68"/>
      <c r="Y68"/>
      <c r="Z68"/>
    </row>
    <row r="69" spans="1:26" x14ac:dyDescent="0.25">
      <c r="A69" s="9" t="s">
        <v>70</v>
      </c>
      <c r="B69" s="15" t="s">
        <v>21</v>
      </c>
      <c r="C69" s="72">
        <v>352</v>
      </c>
      <c r="D69" s="15">
        <f>11+0.5</f>
        <v>11.5</v>
      </c>
      <c r="E69" s="11">
        <v>21</v>
      </c>
      <c r="F69" s="14">
        <v>9.5200000000000007E-2</v>
      </c>
      <c r="G69" s="64">
        <v>0.55555555555555558</v>
      </c>
      <c r="H69" s="64">
        <v>0.57499999999999996</v>
      </c>
      <c r="I69" s="16">
        <v>5.3</v>
      </c>
      <c r="J69" s="14">
        <v>0</v>
      </c>
      <c r="K69" s="14">
        <v>0</v>
      </c>
      <c r="L69" s="15">
        <v>0.4</v>
      </c>
      <c r="P69"/>
      <c r="Y69"/>
      <c r="Z69"/>
    </row>
    <row r="70" spans="1:26" ht="14.25" customHeight="1" x14ac:dyDescent="0.25">
      <c r="A70" s="9" t="s">
        <v>71</v>
      </c>
      <c r="B70" s="15" t="s">
        <v>21</v>
      </c>
      <c r="C70" s="72">
        <v>41</v>
      </c>
      <c r="D70" s="15">
        <v>7</v>
      </c>
      <c r="E70" s="11">
        <v>29</v>
      </c>
      <c r="F70" s="14">
        <v>0</v>
      </c>
      <c r="G70" s="64">
        <v>0.47619047619047616</v>
      </c>
      <c r="H70" s="64">
        <v>0.73333333333333328</v>
      </c>
      <c r="I70" s="16">
        <v>5</v>
      </c>
      <c r="J70" s="14">
        <f>(7-1)/11</f>
        <v>0.54545454545454541</v>
      </c>
      <c r="K70" s="14">
        <f>4/11</f>
        <v>0.36363636363636365</v>
      </c>
      <c r="L70" s="15">
        <v>1</v>
      </c>
      <c r="P70"/>
      <c r="Y70"/>
      <c r="Z70"/>
    </row>
    <row r="71" spans="1:26" x14ac:dyDescent="0.25">
      <c r="A71" s="9" t="s">
        <v>72</v>
      </c>
      <c r="B71" s="15" t="s">
        <v>52</v>
      </c>
      <c r="C71" s="72">
        <v>341</v>
      </c>
      <c r="D71" s="15">
        <v>28</v>
      </c>
      <c r="E71" s="11">
        <v>16</v>
      </c>
      <c r="F71" s="14">
        <v>0.125</v>
      </c>
      <c r="G71" s="64">
        <v>0.62068965517241381</v>
      </c>
      <c r="H71" s="64">
        <v>0.61111111111111116</v>
      </c>
      <c r="I71" s="16">
        <v>3.3</v>
      </c>
      <c r="J71" s="14">
        <v>0</v>
      </c>
      <c r="K71" s="14">
        <f>1/1</f>
        <v>1</v>
      </c>
      <c r="L71" s="15">
        <v>0.2</v>
      </c>
      <c r="P71"/>
      <c r="Y71"/>
      <c r="Z71"/>
    </row>
    <row r="72" spans="1:26" x14ac:dyDescent="0.25">
      <c r="A72" s="9" t="s">
        <v>94</v>
      </c>
      <c r="B72" s="15" t="s">
        <v>58</v>
      </c>
      <c r="C72" s="72">
        <v>492</v>
      </c>
      <c r="D72" s="15"/>
      <c r="E72" s="11">
        <v>19</v>
      </c>
      <c r="F72" s="14">
        <v>0.1053</v>
      </c>
      <c r="G72" s="64">
        <v>0.55000000000000004</v>
      </c>
      <c r="H72" s="64">
        <v>0.55000000000000004</v>
      </c>
      <c r="I72" s="16">
        <v>0</v>
      </c>
      <c r="J72" s="14">
        <v>0</v>
      </c>
      <c r="K72" s="14">
        <v>0</v>
      </c>
      <c r="L72" s="15"/>
      <c r="P72"/>
      <c r="Y72"/>
      <c r="Z72"/>
    </row>
    <row r="73" spans="1:26" x14ac:dyDescent="0.25">
      <c r="A73" s="27" t="s">
        <v>85</v>
      </c>
      <c r="B73" s="15" t="s">
        <v>88</v>
      </c>
      <c r="C73" s="72">
        <v>455</v>
      </c>
      <c r="D73" s="15"/>
      <c r="E73" s="11">
        <v>10</v>
      </c>
      <c r="F73" s="14">
        <v>0.01</v>
      </c>
      <c r="G73" s="64">
        <v>0.25</v>
      </c>
      <c r="H73" s="64">
        <v>0</v>
      </c>
      <c r="I73" s="16">
        <v>0</v>
      </c>
      <c r="J73" s="14">
        <v>0</v>
      </c>
      <c r="K73" s="14">
        <v>0</v>
      </c>
      <c r="L73" s="15">
        <v>0</v>
      </c>
      <c r="P73"/>
      <c r="Y73"/>
      <c r="Z73"/>
    </row>
    <row r="74" spans="1:26" x14ac:dyDescent="0.25">
      <c r="A74" s="27" t="s">
        <v>87</v>
      </c>
      <c r="B74" s="15" t="s">
        <v>63</v>
      </c>
      <c r="C74" s="72">
        <v>501</v>
      </c>
      <c r="D74" s="15">
        <v>9</v>
      </c>
      <c r="E74" s="11">
        <v>5</v>
      </c>
      <c r="F74" s="14">
        <v>0</v>
      </c>
      <c r="G74" s="64">
        <v>0</v>
      </c>
      <c r="H74" s="64">
        <v>0</v>
      </c>
      <c r="I74" s="16">
        <v>0</v>
      </c>
      <c r="J74" s="14">
        <v>0</v>
      </c>
      <c r="K74" s="14">
        <v>0</v>
      </c>
      <c r="L74" s="15">
        <v>0</v>
      </c>
      <c r="P74"/>
      <c r="Y74"/>
      <c r="Z74"/>
    </row>
    <row r="75" spans="1:26" x14ac:dyDescent="0.25">
      <c r="B75" s="55"/>
      <c r="C75" s="74"/>
      <c r="D75" s="55"/>
      <c r="E75" s="17"/>
      <c r="I75" s="45"/>
      <c r="P75"/>
      <c r="Y75"/>
      <c r="Z75"/>
    </row>
    <row r="76" spans="1:26" x14ac:dyDescent="0.25">
      <c r="A76" s="48" t="s">
        <v>95</v>
      </c>
      <c r="B76" s="55"/>
      <c r="C76" s="74"/>
      <c r="D76" s="55"/>
      <c r="E76" s="17"/>
      <c r="I76" s="45"/>
      <c r="P76"/>
      <c r="Y76"/>
      <c r="Z76"/>
    </row>
    <row r="77" spans="1:26" x14ac:dyDescent="0.25">
      <c r="A77" s="9" t="s">
        <v>7</v>
      </c>
      <c r="B77" s="15" t="s">
        <v>5</v>
      </c>
      <c r="C77" s="72">
        <v>112</v>
      </c>
      <c r="D77" s="15">
        <v>2</v>
      </c>
      <c r="E77" s="10">
        <v>25</v>
      </c>
      <c r="F77" s="14">
        <v>0</v>
      </c>
      <c r="G77" s="64">
        <v>0.15948275862068967</v>
      </c>
      <c r="H77" s="64">
        <v>0.67567567567567566</v>
      </c>
      <c r="I77" s="16">
        <v>4.3</v>
      </c>
      <c r="J77" s="14">
        <f>(3-0)/17</f>
        <v>0.17647058823529413</v>
      </c>
      <c r="K77" s="14">
        <f>14/17</f>
        <v>0.82352941176470584</v>
      </c>
      <c r="L77" s="16">
        <v>5</v>
      </c>
      <c r="P77"/>
      <c r="Y77"/>
      <c r="Z77"/>
    </row>
    <row r="78" spans="1:26" x14ac:dyDescent="0.25">
      <c r="A78" s="9" t="s">
        <v>69</v>
      </c>
      <c r="B78" s="15" t="s">
        <v>5</v>
      </c>
      <c r="C78" s="72">
        <v>474</v>
      </c>
      <c r="D78" s="15"/>
      <c r="E78" s="11">
        <v>14</v>
      </c>
      <c r="F78" s="14">
        <v>7.1400000000000005E-2</v>
      </c>
      <c r="G78" s="64">
        <v>0.35714285714285715</v>
      </c>
      <c r="H78" s="64">
        <v>0.8</v>
      </c>
      <c r="I78" s="16">
        <v>2</v>
      </c>
      <c r="J78" s="14">
        <v>0</v>
      </c>
      <c r="K78" s="14">
        <v>0</v>
      </c>
      <c r="L78" s="15">
        <v>1.2</v>
      </c>
      <c r="P78"/>
      <c r="Y78"/>
      <c r="Z78"/>
    </row>
    <row r="79" spans="1:26" x14ac:dyDescent="0.25">
      <c r="A79" s="27" t="s">
        <v>86</v>
      </c>
      <c r="B79" s="15" t="s">
        <v>5</v>
      </c>
      <c r="C79" s="72">
        <v>519</v>
      </c>
      <c r="D79" s="15"/>
      <c r="E79" s="11">
        <v>12</v>
      </c>
      <c r="F79" s="14">
        <v>0</v>
      </c>
      <c r="G79" s="64">
        <v>0</v>
      </c>
      <c r="H79" s="64">
        <v>0</v>
      </c>
      <c r="I79" s="16">
        <v>0</v>
      </c>
      <c r="J79" s="14">
        <v>0</v>
      </c>
      <c r="K79" s="14">
        <v>0</v>
      </c>
      <c r="L79" s="15">
        <v>0</v>
      </c>
      <c r="P79"/>
      <c r="Y79"/>
      <c r="Z79"/>
    </row>
    <row r="80" spans="1:26" x14ac:dyDescent="0.25">
      <c r="A80" s="9" t="s">
        <v>94</v>
      </c>
      <c r="B80" s="15" t="s">
        <v>58</v>
      </c>
      <c r="C80" s="72">
        <v>492</v>
      </c>
      <c r="D80" s="15"/>
      <c r="E80" s="11">
        <v>19</v>
      </c>
      <c r="F80" s="14">
        <v>0.1053</v>
      </c>
      <c r="G80" s="64">
        <v>0.55000000000000004</v>
      </c>
      <c r="H80" s="64">
        <v>0.55000000000000004</v>
      </c>
      <c r="I80" s="16">
        <v>0</v>
      </c>
      <c r="J80" s="14">
        <v>0</v>
      </c>
      <c r="K80" s="14">
        <v>0</v>
      </c>
      <c r="L80" s="15"/>
      <c r="P80"/>
      <c r="Y80"/>
      <c r="Z80"/>
    </row>
    <row r="81" spans="1:26" x14ac:dyDescent="0.25">
      <c r="A81" s="9" t="s">
        <v>57</v>
      </c>
      <c r="B81" s="15" t="s">
        <v>58</v>
      </c>
      <c r="C81" s="72">
        <v>97</v>
      </c>
      <c r="D81" s="15">
        <v>171.68</v>
      </c>
      <c r="E81" s="10">
        <v>241</v>
      </c>
      <c r="F81" s="14">
        <v>8.3000000000000004E-2</v>
      </c>
      <c r="G81" s="64">
        <v>0.27504553734061932</v>
      </c>
      <c r="H81" s="64">
        <v>0.59823399558498891</v>
      </c>
      <c r="I81" s="16">
        <v>4.7</v>
      </c>
      <c r="J81" s="14">
        <f>(23-2)/158</f>
        <v>0.13291139240506328</v>
      </c>
      <c r="K81" s="14">
        <f>133/158</f>
        <v>0.84177215189873422</v>
      </c>
      <c r="L81" s="16">
        <v>43.8</v>
      </c>
      <c r="P81"/>
      <c r="Y81"/>
      <c r="Z81"/>
    </row>
    <row r="82" spans="1:26" x14ac:dyDescent="0.25">
      <c r="A82" s="27" t="s">
        <v>85</v>
      </c>
      <c r="B82" s="15" t="s">
        <v>88</v>
      </c>
      <c r="C82" s="72">
        <v>455</v>
      </c>
      <c r="D82" s="15"/>
      <c r="E82" s="11">
        <v>10</v>
      </c>
      <c r="F82" s="14">
        <v>0.01</v>
      </c>
      <c r="G82" s="64">
        <v>0.25</v>
      </c>
      <c r="H82" s="64">
        <v>0</v>
      </c>
      <c r="I82" s="16">
        <v>0</v>
      </c>
      <c r="J82" s="14">
        <v>0</v>
      </c>
      <c r="K82" s="14">
        <v>0</v>
      </c>
      <c r="L82" s="15">
        <v>0</v>
      </c>
      <c r="P82"/>
      <c r="Y82"/>
      <c r="Z82"/>
    </row>
    <row r="83" spans="1:26" ht="13.5" customHeight="1" x14ac:dyDescent="0.25">
      <c r="C83" s="75"/>
      <c r="P83"/>
      <c r="Y83"/>
      <c r="Z83"/>
    </row>
    <row r="84" spans="1:26" ht="13.5" customHeight="1" x14ac:dyDescent="0.25">
      <c r="A84" s="49" t="s">
        <v>116</v>
      </c>
      <c r="C84" s="75"/>
      <c r="P84"/>
      <c r="Y84"/>
      <c r="Z84"/>
    </row>
    <row r="85" spans="1:26" x14ac:dyDescent="0.25">
      <c r="A85" s="9" t="s">
        <v>69</v>
      </c>
      <c r="B85" s="15" t="s">
        <v>5</v>
      </c>
      <c r="C85" s="72">
        <v>474</v>
      </c>
      <c r="D85" s="15"/>
      <c r="E85" s="11">
        <v>14</v>
      </c>
      <c r="F85" s="14">
        <v>7.1400000000000005E-2</v>
      </c>
      <c r="G85" s="64">
        <v>0.35714285714285715</v>
      </c>
      <c r="H85" s="64">
        <v>0.8</v>
      </c>
      <c r="I85" s="16">
        <v>2</v>
      </c>
      <c r="J85" s="14">
        <v>0</v>
      </c>
      <c r="K85" s="14">
        <v>0</v>
      </c>
      <c r="L85" s="15">
        <v>1.2</v>
      </c>
      <c r="P85"/>
      <c r="Y85"/>
      <c r="Z85"/>
    </row>
    <row r="86" spans="1:26" x14ac:dyDescent="0.25">
      <c r="A86" s="27" t="s">
        <v>86</v>
      </c>
      <c r="B86" s="15" t="s">
        <v>5</v>
      </c>
      <c r="C86" s="72">
        <v>519</v>
      </c>
      <c r="D86" s="15"/>
      <c r="E86" s="11">
        <v>12</v>
      </c>
      <c r="F86" s="14">
        <v>0</v>
      </c>
      <c r="G86" s="64">
        <v>0</v>
      </c>
      <c r="H86" s="64">
        <v>0</v>
      </c>
      <c r="I86" s="16">
        <v>0</v>
      </c>
      <c r="J86" s="14">
        <v>0</v>
      </c>
      <c r="K86" s="14">
        <v>0</v>
      </c>
      <c r="L86" s="15">
        <v>0</v>
      </c>
      <c r="P86"/>
      <c r="Y86"/>
      <c r="Z86"/>
    </row>
    <row r="87" spans="1:26" x14ac:dyDescent="0.25">
      <c r="A87" s="9" t="s">
        <v>94</v>
      </c>
      <c r="B87" s="15" t="s">
        <v>58</v>
      </c>
      <c r="C87" s="72">
        <v>492</v>
      </c>
      <c r="D87" s="15"/>
      <c r="E87" s="11">
        <v>19</v>
      </c>
      <c r="F87" s="14">
        <v>0.1053</v>
      </c>
      <c r="G87" s="64">
        <v>0.55000000000000004</v>
      </c>
      <c r="H87" s="64">
        <v>0.55000000000000004</v>
      </c>
      <c r="I87" s="16">
        <v>0</v>
      </c>
      <c r="J87" s="14">
        <v>0</v>
      </c>
      <c r="K87" s="14">
        <v>0</v>
      </c>
      <c r="L87" s="15"/>
      <c r="P87"/>
      <c r="Y87"/>
      <c r="Z87"/>
    </row>
    <row r="88" spans="1:26" x14ac:dyDescent="0.25">
      <c r="A88" s="27" t="s">
        <v>85</v>
      </c>
      <c r="B88" s="15" t="s">
        <v>88</v>
      </c>
      <c r="C88" s="72">
        <v>455</v>
      </c>
      <c r="D88" s="15"/>
      <c r="E88" s="11">
        <v>10</v>
      </c>
      <c r="F88" s="14">
        <v>0.01</v>
      </c>
      <c r="G88" s="64">
        <v>0.25</v>
      </c>
      <c r="H88" s="64">
        <v>0</v>
      </c>
      <c r="I88" s="16">
        <v>0</v>
      </c>
      <c r="J88" s="14">
        <v>0</v>
      </c>
      <c r="K88" s="14">
        <v>0</v>
      </c>
      <c r="L88" s="15">
        <v>0</v>
      </c>
      <c r="P88"/>
      <c r="Y88"/>
      <c r="Z88"/>
    </row>
    <row r="89" spans="1:26" x14ac:dyDescent="0.25">
      <c r="P89"/>
      <c r="Y89"/>
      <c r="Z89"/>
    </row>
    <row r="90" spans="1:26" ht="80.25" customHeight="1" x14ac:dyDescent="0.25">
      <c r="B90" s="56"/>
      <c r="C90" s="817" t="s">
        <v>97</v>
      </c>
      <c r="D90" s="818"/>
      <c r="P90"/>
      <c r="S90" s="17"/>
      <c r="U90" s="17"/>
      <c r="Y90"/>
      <c r="Z90"/>
    </row>
    <row r="91" spans="1:26" ht="15" customHeight="1" x14ac:dyDescent="0.25">
      <c r="B91" s="70"/>
      <c r="C91" s="819" t="s">
        <v>96</v>
      </c>
      <c r="D91" s="820"/>
      <c r="P91"/>
      <c r="S91" s="17"/>
      <c r="U91" s="17"/>
      <c r="Y91"/>
      <c r="Z91"/>
    </row>
    <row r="92" spans="1:26" x14ac:dyDescent="0.25">
      <c r="B92" s="57"/>
      <c r="C92" s="821"/>
      <c r="D92" s="822"/>
      <c r="P92"/>
      <c r="S92" s="17"/>
      <c r="U92" s="17"/>
      <c r="Y92"/>
      <c r="Z92"/>
    </row>
    <row r="93" spans="1:26" x14ac:dyDescent="0.25">
      <c r="B93" s="78"/>
      <c r="C93" s="821"/>
      <c r="D93" s="822"/>
      <c r="P93"/>
      <c r="S93" s="17"/>
      <c r="U93" s="17"/>
      <c r="Y93"/>
      <c r="Z93"/>
    </row>
    <row r="94" spans="1:26" x14ac:dyDescent="0.25">
      <c r="B94" s="61"/>
      <c r="C94" s="821"/>
      <c r="D94" s="822"/>
      <c r="P94"/>
      <c r="S94" s="17"/>
      <c r="U94" s="17"/>
      <c r="Y94"/>
      <c r="Z94"/>
    </row>
    <row r="95" spans="1:26" x14ac:dyDescent="0.25">
      <c r="B95" s="80"/>
      <c r="C95" s="821"/>
      <c r="D95" s="822"/>
      <c r="P95"/>
      <c r="S95" s="17"/>
      <c r="U95" s="17"/>
      <c r="Y95"/>
      <c r="Z95"/>
    </row>
    <row r="96" spans="1:26" x14ac:dyDescent="0.25">
      <c r="B96" s="62"/>
      <c r="C96" s="821"/>
      <c r="D96" s="822"/>
      <c r="P96"/>
      <c r="S96" s="17"/>
      <c r="U96" s="17"/>
      <c r="Y96"/>
      <c r="Z96"/>
    </row>
    <row r="97" spans="2:26" x14ac:dyDescent="0.25">
      <c r="B97" s="58"/>
      <c r="C97" s="821"/>
      <c r="D97" s="822"/>
      <c r="P97"/>
      <c r="S97" s="17"/>
      <c r="U97" s="17"/>
      <c r="Y97"/>
      <c r="Z97"/>
    </row>
    <row r="98" spans="2:26" x14ac:dyDescent="0.25">
      <c r="B98" s="59"/>
      <c r="C98" s="821"/>
      <c r="D98" s="822"/>
      <c r="P98"/>
      <c r="S98" s="17"/>
      <c r="U98" s="17"/>
      <c r="Y98"/>
      <c r="Z98"/>
    </row>
    <row r="99" spans="2:26" x14ac:dyDescent="0.25">
      <c r="B99" s="60"/>
      <c r="C99" s="823"/>
      <c r="D99" s="824"/>
      <c r="P99"/>
      <c r="S99" s="17"/>
      <c r="U99" s="17"/>
      <c r="Y99"/>
      <c r="Z99"/>
    </row>
    <row r="100" spans="2:26" x14ac:dyDescent="0.25">
      <c r="B100" s="63"/>
      <c r="C100" s="817" t="s">
        <v>84</v>
      </c>
      <c r="D100" s="818"/>
      <c r="P100"/>
      <c r="S100" s="17"/>
      <c r="U100" s="17"/>
      <c r="Y100"/>
      <c r="Z100"/>
    </row>
    <row r="101" spans="2:26" x14ac:dyDescent="0.25">
      <c r="P101"/>
      <c r="S101" s="17"/>
      <c r="U101" s="17"/>
      <c r="Y101"/>
      <c r="Z101"/>
    </row>
    <row r="102" spans="2:26" x14ac:dyDescent="0.25">
      <c r="P102"/>
      <c r="S102" s="17"/>
      <c r="U102" s="17"/>
      <c r="Y102"/>
      <c r="Z102"/>
    </row>
    <row r="103" spans="2:26" x14ac:dyDescent="0.25">
      <c r="P103"/>
      <c r="S103" s="17"/>
      <c r="U103" s="17"/>
      <c r="Y103"/>
      <c r="Z103"/>
    </row>
    <row r="104" spans="2:26" x14ac:dyDescent="0.25">
      <c r="P104"/>
      <c r="U104" s="17"/>
      <c r="Y104"/>
      <c r="Z104"/>
    </row>
    <row r="105" spans="2:26" x14ac:dyDescent="0.25">
      <c r="P105"/>
      <c r="U105" s="17"/>
      <c r="Y105"/>
      <c r="Z105"/>
    </row>
    <row r="106" spans="2:26" x14ac:dyDescent="0.25">
      <c r="P106"/>
      <c r="U106" s="17"/>
      <c r="Y106"/>
      <c r="Z106"/>
    </row>
    <row r="107" spans="2:26" x14ac:dyDescent="0.25">
      <c r="P107"/>
      <c r="U107" s="17"/>
      <c r="Y107"/>
      <c r="Z107"/>
    </row>
    <row r="108" spans="2:26" x14ac:dyDescent="0.25">
      <c r="P108"/>
      <c r="U108" s="17"/>
      <c r="Y108"/>
      <c r="Z108"/>
    </row>
    <row r="109" spans="2:26" x14ac:dyDescent="0.25">
      <c r="P109"/>
      <c r="U109" s="17"/>
      <c r="Y109"/>
      <c r="Z109"/>
    </row>
    <row r="110" spans="2:26" x14ac:dyDescent="0.25">
      <c r="P110"/>
      <c r="U110" s="17"/>
      <c r="Y110"/>
      <c r="Z110"/>
    </row>
    <row r="111" spans="2:26" x14ac:dyDescent="0.25">
      <c r="P111"/>
      <c r="U111" s="17"/>
      <c r="Y111"/>
      <c r="Z111"/>
    </row>
    <row r="112" spans="2:26" x14ac:dyDescent="0.25">
      <c r="P112"/>
      <c r="U112" s="17"/>
      <c r="Y112"/>
      <c r="Z112"/>
    </row>
    <row r="113" spans="16:26" x14ac:dyDescent="0.25">
      <c r="P113"/>
      <c r="U113" s="17"/>
      <c r="Y113"/>
      <c r="Z113"/>
    </row>
    <row r="114" spans="16:26" x14ac:dyDescent="0.25">
      <c r="P114"/>
      <c r="U114" s="17"/>
      <c r="Y114"/>
      <c r="Z114"/>
    </row>
    <row r="115" spans="16:26" x14ac:dyDescent="0.25">
      <c r="P115"/>
      <c r="U115" s="17"/>
      <c r="Y115"/>
      <c r="Z115"/>
    </row>
    <row r="116" spans="16:26" x14ac:dyDescent="0.25">
      <c r="P116"/>
      <c r="U116" s="17"/>
      <c r="Y116"/>
      <c r="Z116"/>
    </row>
    <row r="117" spans="16:26" x14ac:dyDescent="0.25">
      <c r="P117"/>
      <c r="U117" s="17"/>
      <c r="Y117"/>
      <c r="Z117"/>
    </row>
    <row r="118" spans="16:26" x14ac:dyDescent="0.25">
      <c r="P118"/>
      <c r="U118" s="17"/>
      <c r="Y118"/>
      <c r="Z118"/>
    </row>
    <row r="119" spans="16:26" x14ac:dyDescent="0.25">
      <c r="P119"/>
      <c r="U119" s="17"/>
      <c r="Y119"/>
      <c r="Z119"/>
    </row>
    <row r="120" spans="16:26" x14ac:dyDescent="0.25">
      <c r="P120"/>
      <c r="U120" s="17"/>
      <c r="Y120"/>
      <c r="Z120"/>
    </row>
    <row r="121" spans="16:26" x14ac:dyDescent="0.25">
      <c r="P121"/>
      <c r="U121" s="17"/>
      <c r="Y121"/>
      <c r="Z121"/>
    </row>
    <row r="122" spans="16:26" x14ac:dyDescent="0.25">
      <c r="P122"/>
      <c r="U122" s="17"/>
      <c r="Y122"/>
      <c r="Z122"/>
    </row>
    <row r="123" spans="16:26" x14ac:dyDescent="0.25">
      <c r="P123"/>
      <c r="U123" s="17"/>
      <c r="Y123"/>
      <c r="Z123"/>
    </row>
    <row r="124" spans="16:26" x14ac:dyDescent="0.25">
      <c r="P124"/>
      <c r="U124" s="17"/>
      <c r="Y124"/>
      <c r="Z124"/>
    </row>
    <row r="125" spans="16:26" x14ac:dyDescent="0.25">
      <c r="P125"/>
      <c r="U125" s="17"/>
      <c r="Y125"/>
      <c r="Z125"/>
    </row>
    <row r="126" spans="16:26" x14ac:dyDescent="0.25">
      <c r="P126"/>
      <c r="U126" s="17"/>
      <c r="Y126"/>
      <c r="Z126"/>
    </row>
    <row r="127" spans="16:26" x14ac:dyDescent="0.25">
      <c r="P127"/>
      <c r="U127" s="17"/>
      <c r="Y127"/>
      <c r="Z127"/>
    </row>
    <row r="128" spans="16:26" x14ac:dyDescent="0.25">
      <c r="P128"/>
      <c r="U128" s="17"/>
      <c r="Y128"/>
      <c r="Z128"/>
    </row>
    <row r="129" spans="16:26" x14ac:dyDescent="0.25">
      <c r="P129"/>
      <c r="U129" s="17"/>
      <c r="Y129"/>
      <c r="Z129"/>
    </row>
    <row r="130" spans="16:26" x14ac:dyDescent="0.25">
      <c r="P130"/>
      <c r="U130" s="17"/>
      <c r="Y130"/>
      <c r="Z130"/>
    </row>
    <row r="131" spans="16:26" x14ac:dyDescent="0.25">
      <c r="P131"/>
      <c r="U131" s="17"/>
      <c r="Y131"/>
      <c r="Z131"/>
    </row>
    <row r="132" spans="16:26" x14ac:dyDescent="0.25">
      <c r="P132"/>
      <c r="U132" s="17"/>
      <c r="Y132"/>
      <c r="Z132"/>
    </row>
    <row r="133" spans="16:26" x14ac:dyDescent="0.25">
      <c r="P133"/>
      <c r="U133" s="17"/>
      <c r="Y133"/>
      <c r="Z133"/>
    </row>
    <row r="134" spans="16:26" x14ac:dyDescent="0.25">
      <c r="P134"/>
      <c r="U134" s="17"/>
      <c r="Y134"/>
      <c r="Z134"/>
    </row>
    <row r="135" spans="16:26" x14ac:dyDescent="0.25">
      <c r="P135"/>
      <c r="U135" s="17"/>
      <c r="Y135"/>
      <c r="Z135"/>
    </row>
    <row r="136" spans="16:26" x14ac:dyDescent="0.25">
      <c r="P136"/>
      <c r="U136" s="17"/>
      <c r="Y136"/>
      <c r="Z136"/>
    </row>
    <row r="137" spans="16:26" x14ac:dyDescent="0.25">
      <c r="P137"/>
      <c r="U137" s="17"/>
      <c r="Y137"/>
      <c r="Z137"/>
    </row>
    <row r="138" spans="16:26" x14ac:dyDescent="0.25">
      <c r="P138"/>
      <c r="U138" s="17"/>
      <c r="Y138"/>
      <c r="Z138"/>
    </row>
    <row r="139" spans="16:26" x14ac:dyDescent="0.25">
      <c r="P139"/>
      <c r="U139" s="17"/>
      <c r="Y139"/>
      <c r="Z139"/>
    </row>
    <row r="140" spans="16:26" x14ac:dyDescent="0.25">
      <c r="P140"/>
      <c r="U140" s="17"/>
      <c r="Y140"/>
      <c r="Z140"/>
    </row>
    <row r="141" spans="16:26" x14ac:dyDescent="0.25">
      <c r="P141"/>
      <c r="U141" s="17"/>
      <c r="Y141"/>
      <c r="Z141"/>
    </row>
    <row r="142" spans="16:26" x14ac:dyDescent="0.25">
      <c r="P142"/>
      <c r="U142" s="17"/>
      <c r="Y142"/>
      <c r="Z142"/>
    </row>
    <row r="143" spans="16:26" x14ac:dyDescent="0.25">
      <c r="P143"/>
      <c r="U143" s="17"/>
      <c r="Y143"/>
      <c r="Z143"/>
    </row>
    <row r="144" spans="16:26" x14ac:dyDescent="0.25">
      <c r="P144"/>
      <c r="U144" s="17"/>
      <c r="Y144"/>
      <c r="Z144"/>
    </row>
    <row r="145" spans="16:26" x14ac:dyDescent="0.25">
      <c r="P145"/>
      <c r="U145" s="17"/>
      <c r="Y145"/>
      <c r="Z145"/>
    </row>
    <row r="146" spans="16:26" x14ac:dyDescent="0.25">
      <c r="P146"/>
      <c r="U146" s="17"/>
      <c r="Y146"/>
      <c r="Z146"/>
    </row>
    <row r="147" spans="16:26" x14ac:dyDescent="0.25">
      <c r="P147"/>
      <c r="U147" s="17"/>
      <c r="Y147"/>
      <c r="Z147"/>
    </row>
  </sheetData>
  <mergeCells count="12">
    <mergeCell ref="C90:D90"/>
    <mergeCell ref="C91:D99"/>
    <mergeCell ref="C100:D100"/>
    <mergeCell ref="Q3:X4"/>
    <mergeCell ref="AA3:AH4"/>
    <mergeCell ref="A1:H1"/>
    <mergeCell ref="K4:L4"/>
    <mergeCell ref="E4:H4"/>
    <mergeCell ref="I4:J4"/>
    <mergeCell ref="E2:H3"/>
    <mergeCell ref="I2:L3"/>
    <mergeCell ref="I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07"/>
  <sheetViews>
    <sheetView zoomScale="82" zoomScaleNormal="82" workbookViewId="0">
      <selection activeCell="D32" sqref="D32"/>
    </sheetView>
  </sheetViews>
  <sheetFormatPr defaultRowHeight="15" x14ac:dyDescent="0.25"/>
  <cols>
    <col min="1" max="1" width="8.7109375" style="127" bestFit="1" customWidth="1"/>
    <col min="2" max="2" width="51.7109375" style="195" customWidth="1"/>
    <col min="3" max="3" width="8.42578125" style="127" customWidth="1"/>
    <col min="4" max="4" width="9.7109375" style="127" customWidth="1"/>
    <col min="5" max="5" width="7.28515625" customWidth="1"/>
    <col min="6" max="6" width="8.7109375" style="127" bestFit="1" customWidth="1"/>
    <col min="7" max="7" width="51.7109375" style="127" customWidth="1"/>
    <col min="8" max="8" width="9.140625" bestFit="1" customWidth="1"/>
    <col min="9" max="9" width="10.28515625" style="126" bestFit="1" customWidth="1"/>
  </cols>
  <sheetData>
    <row r="1" spans="1:11" ht="18.75" x14ac:dyDescent="0.3">
      <c r="A1" s="716"/>
      <c r="B1" s="827" t="s">
        <v>241</v>
      </c>
      <c r="C1" s="827"/>
      <c r="D1" s="827"/>
      <c r="E1" s="827"/>
      <c r="F1" s="827"/>
      <c r="G1" s="827"/>
      <c r="H1" s="827"/>
      <c r="I1" s="828"/>
    </row>
    <row r="2" spans="1:11" s="100" customFormat="1" ht="18.75" x14ac:dyDescent="0.25">
      <c r="A2" s="717"/>
      <c r="B2" s="718" t="s">
        <v>199</v>
      </c>
      <c r="C2" s="719"/>
      <c r="D2" s="719"/>
      <c r="E2" s="719"/>
      <c r="F2" s="719"/>
      <c r="G2" s="718" t="s">
        <v>200</v>
      </c>
      <c r="H2" s="719"/>
      <c r="I2" s="719"/>
    </row>
    <row r="3" spans="1:11" s="44" customFormat="1" x14ac:dyDescent="0.25">
      <c r="A3" s="714" t="s">
        <v>100</v>
      </c>
      <c r="B3" s="715" t="s">
        <v>77</v>
      </c>
      <c r="C3" s="714" t="s">
        <v>3</v>
      </c>
      <c r="D3" s="714" t="s">
        <v>78</v>
      </c>
      <c r="E3" s="781"/>
      <c r="F3" s="713" t="s">
        <v>101</v>
      </c>
      <c r="G3" s="713" t="s">
        <v>77</v>
      </c>
      <c r="H3" s="713" t="s">
        <v>3</v>
      </c>
      <c r="I3" s="713" t="s">
        <v>79</v>
      </c>
      <c r="K3" s="222"/>
    </row>
    <row r="4" spans="1:11" x14ac:dyDescent="0.25">
      <c r="A4" s="720">
        <v>1</v>
      </c>
      <c r="B4" s="756" t="s">
        <v>320</v>
      </c>
      <c r="C4" s="756" t="s">
        <v>21</v>
      </c>
      <c r="D4" s="756">
        <v>6</v>
      </c>
      <c r="E4" s="782"/>
      <c r="F4" s="720">
        <v>1</v>
      </c>
      <c r="G4" s="756" t="s">
        <v>34</v>
      </c>
      <c r="H4" s="756" t="s">
        <v>21</v>
      </c>
      <c r="I4" s="756">
        <v>7</v>
      </c>
      <c r="J4" s="133"/>
    </row>
    <row r="5" spans="1:11" x14ac:dyDescent="0.25">
      <c r="A5" s="720">
        <v>2</v>
      </c>
      <c r="B5" s="756" t="s">
        <v>48</v>
      </c>
      <c r="C5" s="756" t="s">
        <v>43</v>
      </c>
      <c r="D5" s="756">
        <v>5</v>
      </c>
      <c r="E5" s="782"/>
      <c r="F5" s="720">
        <v>2</v>
      </c>
      <c r="G5" s="756" t="s">
        <v>4</v>
      </c>
      <c r="H5" s="756" t="s">
        <v>5</v>
      </c>
      <c r="I5" s="756">
        <v>6</v>
      </c>
      <c r="J5" s="133"/>
    </row>
    <row r="6" spans="1:11" ht="29.25" x14ac:dyDescent="0.25">
      <c r="A6" s="720">
        <v>2</v>
      </c>
      <c r="B6" s="756" t="s">
        <v>318</v>
      </c>
      <c r="C6" s="756" t="s">
        <v>43</v>
      </c>
      <c r="D6" s="756">
        <v>5</v>
      </c>
      <c r="E6" s="782"/>
      <c r="F6" s="720">
        <v>2</v>
      </c>
      <c r="G6" s="756" t="s">
        <v>12</v>
      </c>
      <c r="H6" s="756" t="s">
        <v>5</v>
      </c>
      <c r="I6" s="756">
        <v>6</v>
      </c>
      <c r="J6" s="133"/>
    </row>
    <row r="7" spans="1:11" x14ac:dyDescent="0.25">
      <c r="A7" s="720">
        <v>2</v>
      </c>
      <c r="B7" s="756" t="s">
        <v>61</v>
      </c>
      <c r="C7" s="756" t="s">
        <v>62</v>
      </c>
      <c r="D7" s="756">
        <v>5</v>
      </c>
      <c r="E7" s="782"/>
      <c r="F7" s="720">
        <v>2</v>
      </c>
      <c r="G7" s="756" t="s">
        <v>322</v>
      </c>
      <c r="H7" s="756" t="s">
        <v>21</v>
      </c>
      <c r="I7" s="756">
        <v>6</v>
      </c>
      <c r="J7" s="133"/>
    </row>
    <row r="8" spans="1:11" x14ac:dyDescent="0.25">
      <c r="A8" s="720">
        <v>2</v>
      </c>
      <c r="B8" s="756" t="s">
        <v>23</v>
      </c>
      <c r="C8" s="756" t="s">
        <v>63</v>
      </c>
      <c r="D8" s="756">
        <v>5</v>
      </c>
      <c r="E8" s="782"/>
      <c r="F8" s="720">
        <v>2</v>
      </c>
      <c r="G8" s="756" t="s">
        <v>31</v>
      </c>
      <c r="H8" s="756" t="s">
        <v>21</v>
      </c>
      <c r="I8" s="756">
        <v>6</v>
      </c>
      <c r="J8" s="133"/>
    </row>
    <row r="9" spans="1:11" x14ac:dyDescent="0.25">
      <c r="A9" s="720">
        <v>6</v>
      </c>
      <c r="B9" s="756" t="s">
        <v>16</v>
      </c>
      <c r="C9" s="756" t="s">
        <v>5</v>
      </c>
      <c r="D9" s="756">
        <v>4</v>
      </c>
      <c r="E9" s="782"/>
      <c r="F9" s="720">
        <v>2</v>
      </c>
      <c r="G9" s="756" t="s">
        <v>70</v>
      </c>
      <c r="H9" s="756" t="s">
        <v>21</v>
      </c>
      <c r="I9" s="756">
        <v>6</v>
      </c>
      <c r="J9" s="133"/>
    </row>
    <row r="10" spans="1:11" x14ac:dyDescent="0.25">
      <c r="A10" s="720">
        <v>6</v>
      </c>
      <c r="B10" s="756" t="s">
        <v>14</v>
      </c>
      <c r="C10" s="756" t="s">
        <v>5</v>
      </c>
      <c r="D10" s="756">
        <v>4</v>
      </c>
      <c r="E10" s="782"/>
      <c r="F10" s="720">
        <v>7</v>
      </c>
      <c r="G10" s="756" t="s">
        <v>71</v>
      </c>
      <c r="H10" s="756" t="s">
        <v>21</v>
      </c>
      <c r="I10" s="756">
        <v>5</v>
      </c>
      <c r="J10" s="133"/>
    </row>
    <row r="11" spans="1:11" x14ac:dyDescent="0.25">
      <c r="A11" s="720">
        <v>6</v>
      </c>
      <c r="B11" s="756" t="s">
        <v>11</v>
      </c>
      <c r="C11" s="756" t="s">
        <v>5</v>
      </c>
      <c r="D11" s="756">
        <v>4</v>
      </c>
      <c r="E11" s="782"/>
      <c r="F11" s="720">
        <v>7</v>
      </c>
      <c r="G11" s="756" t="s">
        <v>72</v>
      </c>
      <c r="H11" s="756" t="s">
        <v>52</v>
      </c>
      <c r="I11" s="756">
        <v>5</v>
      </c>
      <c r="J11" s="133"/>
    </row>
    <row r="12" spans="1:11" x14ac:dyDescent="0.25">
      <c r="A12" s="720">
        <v>6</v>
      </c>
      <c r="B12" s="756" t="s">
        <v>8</v>
      </c>
      <c r="C12" s="756" t="s">
        <v>5</v>
      </c>
      <c r="D12" s="756">
        <v>4</v>
      </c>
      <c r="E12" s="782"/>
      <c r="F12" s="720">
        <v>7</v>
      </c>
      <c r="G12" s="756" t="s">
        <v>59</v>
      </c>
      <c r="H12" s="756" t="s">
        <v>60</v>
      </c>
      <c r="I12" s="756">
        <v>5</v>
      </c>
      <c r="J12" s="133"/>
    </row>
    <row r="13" spans="1:11" x14ac:dyDescent="0.25">
      <c r="A13" s="720">
        <v>6</v>
      </c>
      <c r="B13" s="756" t="s">
        <v>169</v>
      </c>
      <c r="C13" s="756" t="s">
        <v>21</v>
      </c>
      <c r="D13" s="756">
        <v>4</v>
      </c>
      <c r="E13" s="782"/>
      <c r="F13" s="720">
        <v>10</v>
      </c>
      <c r="G13" s="756" t="s">
        <v>24</v>
      </c>
      <c r="H13" s="756" t="s">
        <v>21</v>
      </c>
      <c r="I13" s="756">
        <v>4</v>
      </c>
      <c r="J13" s="133"/>
    </row>
    <row r="14" spans="1:11" ht="72" x14ac:dyDescent="0.25">
      <c r="A14" s="720">
        <v>6</v>
      </c>
      <c r="B14" s="756" t="s">
        <v>327</v>
      </c>
      <c r="C14" s="756" t="s">
        <v>40</v>
      </c>
      <c r="D14" s="756">
        <v>4</v>
      </c>
      <c r="E14" s="782"/>
      <c r="F14" s="720">
        <v>10</v>
      </c>
      <c r="G14" s="756" t="s">
        <v>36</v>
      </c>
      <c r="H14" s="756" t="s">
        <v>21</v>
      </c>
      <c r="I14" s="756">
        <v>4</v>
      </c>
      <c r="J14" s="133"/>
    </row>
    <row r="15" spans="1:11" x14ac:dyDescent="0.25">
      <c r="A15" s="720">
        <v>6</v>
      </c>
      <c r="B15" s="756" t="s">
        <v>324</v>
      </c>
      <c r="C15" s="756" t="s">
        <v>40</v>
      </c>
      <c r="D15" s="756">
        <v>4</v>
      </c>
      <c r="E15" s="782"/>
      <c r="F15" s="720">
        <v>10</v>
      </c>
      <c r="G15" s="756" t="s">
        <v>28</v>
      </c>
      <c r="H15" s="756" t="s">
        <v>21</v>
      </c>
      <c r="I15" s="756">
        <v>4</v>
      </c>
      <c r="J15" s="133"/>
    </row>
    <row r="16" spans="1:11" x14ac:dyDescent="0.25">
      <c r="A16" s="720">
        <v>6</v>
      </c>
      <c r="B16" s="756" t="s">
        <v>164</v>
      </c>
      <c r="C16" s="756" t="s">
        <v>43</v>
      </c>
      <c r="D16" s="756">
        <v>4</v>
      </c>
      <c r="E16" s="782"/>
      <c r="F16" s="720">
        <v>10</v>
      </c>
      <c r="G16" s="756" t="s">
        <v>51</v>
      </c>
      <c r="H16" s="756" t="s">
        <v>43</v>
      </c>
      <c r="I16" s="756">
        <v>4</v>
      </c>
      <c r="J16" s="133"/>
    </row>
    <row r="17" spans="1:10" x14ac:dyDescent="0.25">
      <c r="A17" s="720">
        <v>6</v>
      </c>
      <c r="B17" s="756" t="s">
        <v>51</v>
      </c>
      <c r="C17" s="756" t="s">
        <v>43</v>
      </c>
      <c r="D17" s="756">
        <v>4</v>
      </c>
      <c r="E17" s="782"/>
      <c r="F17" s="720">
        <v>10</v>
      </c>
      <c r="G17" s="756" t="s">
        <v>326</v>
      </c>
      <c r="H17" s="756" t="s">
        <v>52</v>
      </c>
      <c r="I17" s="756">
        <v>4</v>
      </c>
      <c r="J17" s="133"/>
    </row>
    <row r="18" spans="1:10" ht="29.25" x14ac:dyDescent="0.25">
      <c r="A18" s="720">
        <v>6</v>
      </c>
      <c r="B18" s="756" t="s">
        <v>53</v>
      </c>
      <c r="C18" s="756" t="s">
        <v>54</v>
      </c>
      <c r="D18" s="756">
        <v>4</v>
      </c>
      <c r="E18" s="782"/>
      <c r="F18" s="720">
        <v>10</v>
      </c>
      <c r="G18" s="756" t="s">
        <v>22</v>
      </c>
      <c r="H18" s="756" t="s">
        <v>167</v>
      </c>
      <c r="I18" s="756">
        <v>4</v>
      </c>
      <c r="J18" s="133"/>
    </row>
    <row r="19" spans="1:10" x14ac:dyDescent="0.25">
      <c r="A19" s="720">
        <v>16</v>
      </c>
      <c r="B19" s="756" t="s">
        <v>153</v>
      </c>
      <c r="C19" s="756" t="s">
        <v>5</v>
      </c>
      <c r="D19" s="756">
        <v>3</v>
      </c>
      <c r="E19" s="782"/>
      <c r="F19" s="720">
        <v>16</v>
      </c>
      <c r="G19" s="756" t="s">
        <v>15</v>
      </c>
      <c r="H19" s="756" t="s">
        <v>5</v>
      </c>
      <c r="I19" s="756">
        <v>3</v>
      </c>
      <c r="J19" s="133"/>
    </row>
    <row r="20" spans="1:10" x14ac:dyDescent="0.25">
      <c r="A20" s="720">
        <v>16</v>
      </c>
      <c r="B20" s="756" t="s">
        <v>15</v>
      </c>
      <c r="C20" s="756" t="s">
        <v>5</v>
      </c>
      <c r="D20" s="756">
        <v>3</v>
      </c>
      <c r="E20" s="782"/>
      <c r="F20" s="720">
        <v>16</v>
      </c>
      <c r="G20" s="756" t="s">
        <v>11</v>
      </c>
      <c r="H20" s="756" t="s">
        <v>5</v>
      </c>
      <c r="I20" s="756">
        <v>3</v>
      </c>
      <c r="J20" s="133"/>
    </row>
    <row r="21" spans="1:10" ht="29.25" x14ac:dyDescent="0.25">
      <c r="A21" s="720">
        <v>16</v>
      </c>
      <c r="B21" s="756" t="s">
        <v>319</v>
      </c>
      <c r="C21" s="756" t="s">
        <v>5</v>
      </c>
      <c r="D21" s="756">
        <v>3</v>
      </c>
      <c r="E21" s="782"/>
      <c r="F21" s="720">
        <v>16</v>
      </c>
      <c r="G21" s="756" t="s">
        <v>30</v>
      </c>
      <c r="H21" s="756" t="s">
        <v>21</v>
      </c>
      <c r="I21" s="756">
        <v>3</v>
      </c>
      <c r="J21" s="133"/>
    </row>
    <row r="22" spans="1:10" x14ac:dyDescent="0.25">
      <c r="A22" s="720">
        <v>16</v>
      </c>
      <c r="B22" s="756" t="s">
        <v>13</v>
      </c>
      <c r="C22" s="756" t="s">
        <v>5</v>
      </c>
      <c r="D22" s="756">
        <v>3</v>
      </c>
      <c r="E22" s="782"/>
      <c r="F22" s="720">
        <v>16</v>
      </c>
      <c r="G22" s="756" t="s">
        <v>32</v>
      </c>
      <c r="H22" s="756" t="s">
        <v>21</v>
      </c>
      <c r="I22" s="756">
        <v>3</v>
      </c>
      <c r="J22" s="133"/>
    </row>
    <row r="23" spans="1:10" x14ac:dyDescent="0.25">
      <c r="A23" s="720">
        <v>16</v>
      </c>
      <c r="B23" s="756" t="s">
        <v>323</v>
      </c>
      <c r="C23" s="756" t="s">
        <v>21</v>
      </c>
      <c r="D23" s="756">
        <v>3</v>
      </c>
      <c r="E23" s="782"/>
      <c r="F23" s="720">
        <v>16</v>
      </c>
      <c r="G23" s="756" t="s">
        <v>25</v>
      </c>
      <c r="H23" s="756" t="s">
        <v>21</v>
      </c>
      <c r="I23" s="756">
        <v>3</v>
      </c>
      <c r="J23" s="133"/>
    </row>
    <row r="24" spans="1:10" x14ac:dyDescent="0.25">
      <c r="A24" s="720">
        <v>16</v>
      </c>
      <c r="B24" s="756" t="s">
        <v>25</v>
      </c>
      <c r="C24" s="756" t="s">
        <v>21</v>
      </c>
      <c r="D24" s="756">
        <v>3</v>
      </c>
      <c r="E24" s="782"/>
      <c r="F24" s="720">
        <v>16</v>
      </c>
      <c r="G24" s="756" t="s">
        <v>26</v>
      </c>
      <c r="H24" s="756" t="s">
        <v>21</v>
      </c>
      <c r="I24" s="756">
        <v>3</v>
      </c>
      <c r="J24" s="133"/>
    </row>
    <row r="25" spans="1:10" x14ac:dyDescent="0.25">
      <c r="A25" s="720">
        <v>16</v>
      </c>
      <c r="B25" s="756" t="s">
        <v>50</v>
      </c>
      <c r="C25" s="756" t="s">
        <v>43</v>
      </c>
      <c r="D25" s="756">
        <v>3</v>
      </c>
      <c r="E25" s="782"/>
      <c r="F25" s="720">
        <v>16</v>
      </c>
      <c r="G25" s="756" t="s">
        <v>41</v>
      </c>
      <c r="H25" s="756" t="s">
        <v>40</v>
      </c>
      <c r="I25" s="756">
        <v>3</v>
      </c>
      <c r="J25" s="133"/>
    </row>
    <row r="26" spans="1:10" x14ac:dyDescent="0.25">
      <c r="A26" s="720">
        <v>16</v>
      </c>
      <c r="B26" s="756" t="s">
        <v>42</v>
      </c>
      <c r="C26" s="756" t="s">
        <v>43</v>
      </c>
      <c r="D26" s="756">
        <v>3</v>
      </c>
      <c r="E26" s="782"/>
      <c r="F26" s="720">
        <v>23</v>
      </c>
      <c r="G26" s="756" t="s">
        <v>14</v>
      </c>
      <c r="H26" s="756" t="s">
        <v>5</v>
      </c>
      <c r="I26" s="756">
        <v>2</v>
      </c>
      <c r="J26" s="133"/>
    </row>
    <row r="27" spans="1:10" ht="29.25" x14ac:dyDescent="0.25">
      <c r="A27" s="720">
        <v>16</v>
      </c>
      <c r="B27" s="756" t="s">
        <v>317</v>
      </c>
      <c r="C27" s="756" t="s">
        <v>43</v>
      </c>
      <c r="D27" s="756">
        <v>3</v>
      </c>
      <c r="E27" s="782"/>
      <c r="F27" s="720">
        <v>23</v>
      </c>
      <c r="G27" s="756" t="s">
        <v>10</v>
      </c>
      <c r="H27" s="756" t="s">
        <v>5</v>
      </c>
      <c r="I27" s="756">
        <v>2</v>
      </c>
      <c r="J27" s="133"/>
    </row>
    <row r="28" spans="1:10" x14ac:dyDescent="0.25">
      <c r="A28" s="720">
        <v>16</v>
      </c>
      <c r="B28" s="756" t="s">
        <v>46</v>
      </c>
      <c r="C28" s="756" t="s">
        <v>43</v>
      </c>
      <c r="D28" s="756">
        <v>3</v>
      </c>
      <c r="E28" s="782"/>
      <c r="F28" s="720">
        <v>23</v>
      </c>
      <c r="G28" s="756" t="s">
        <v>9</v>
      </c>
      <c r="H28" s="756" t="s">
        <v>5</v>
      </c>
      <c r="I28" s="756">
        <v>2</v>
      </c>
      <c r="J28" s="133"/>
    </row>
    <row r="29" spans="1:10" x14ac:dyDescent="0.25">
      <c r="A29" s="720">
        <v>16</v>
      </c>
      <c r="B29" s="756" t="s">
        <v>66</v>
      </c>
      <c r="C29" s="756" t="s">
        <v>67</v>
      </c>
      <c r="D29" s="756">
        <v>3</v>
      </c>
      <c r="E29" s="782"/>
      <c r="F29" s="720">
        <v>23</v>
      </c>
      <c r="G29" s="756" t="s">
        <v>13</v>
      </c>
      <c r="H29" s="756" t="s">
        <v>5</v>
      </c>
      <c r="I29" s="756">
        <v>2</v>
      </c>
      <c r="J29" s="133"/>
    </row>
    <row r="30" spans="1:10" x14ac:dyDescent="0.25">
      <c r="A30" s="720">
        <v>27</v>
      </c>
      <c r="B30" s="756" t="s">
        <v>10</v>
      </c>
      <c r="C30" s="756" t="s">
        <v>5</v>
      </c>
      <c r="D30" s="756">
        <v>2</v>
      </c>
      <c r="E30" s="782"/>
      <c r="F30" s="720">
        <v>23</v>
      </c>
      <c r="G30" s="756" t="s">
        <v>17</v>
      </c>
      <c r="H30" s="756" t="s">
        <v>18</v>
      </c>
      <c r="I30" s="756">
        <v>2</v>
      </c>
      <c r="J30" s="133"/>
    </row>
    <row r="31" spans="1:10" x14ac:dyDescent="0.25">
      <c r="A31" s="720">
        <v>27</v>
      </c>
      <c r="B31" s="756" t="s">
        <v>29</v>
      </c>
      <c r="C31" s="756" t="s">
        <v>21</v>
      </c>
      <c r="D31" s="756">
        <v>2</v>
      </c>
      <c r="E31" s="782"/>
      <c r="F31" s="720">
        <v>23</v>
      </c>
      <c r="G31" s="756" t="s">
        <v>29</v>
      </c>
      <c r="H31" s="756" t="s">
        <v>21</v>
      </c>
      <c r="I31" s="756">
        <v>2</v>
      </c>
      <c r="J31" s="133"/>
    </row>
    <row r="32" spans="1:10" x14ac:dyDescent="0.25">
      <c r="A32" s="720">
        <v>27</v>
      </c>
      <c r="B32" s="756" t="s">
        <v>24</v>
      </c>
      <c r="C32" s="756" t="s">
        <v>21</v>
      </c>
      <c r="D32" s="756">
        <v>2</v>
      </c>
      <c r="E32" s="782"/>
      <c r="F32" s="720">
        <v>23</v>
      </c>
      <c r="G32" s="756" t="s">
        <v>19</v>
      </c>
      <c r="H32" s="756" t="s">
        <v>18</v>
      </c>
      <c r="I32" s="756">
        <v>2</v>
      </c>
      <c r="J32" s="133"/>
    </row>
    <row r="33" spans="1:10" x14ac:dyDescent="0.25">
      <c r="A33" s="720">
        <v>27</v>
      </c>
      <c r="B33" s="756" t="s">
        <v>71</v>
      </c>
      <c r="C33" s="756" t="s">
        <v>21</v>
      </c>
      <c r="D33" s="756">
        <v>2</v>
      </c>
      <c r="E33" s="782"/>
      <c r="F33" s="720">
        <v>23</v>
      </c>
      <c r="G33" s="756" t="s">
        <v>152</v>
      </c>
      <c r="H33" s="756" t="s">
        <v>21</v>
      </c>
      <c r="I33" s="756">
        <v>2</v>
      </c>
      <c r="J33" s="133"/>
    </row>
    <row r="34" spans="1:10" x14ac:dyDescent="0.25">
      <c r="A34" s="720">
        <v>27</v>
      </c>
      <c r="B34" s="756" t="s">
        <v>19</v>
      </c>
      <c r="C34" s="756" t="s">
        <v>18</v>
      </c>
      <c r="D34" s="756">
        <v>2</v>
      </c>
      <c r="E34" s="782"/>
      <c r="F34" s="720">
        <v>23</v>
      </c>
      <c r="G34" s="756" t="s">
        <v>321</v>
      </c>
      <c r="H34" s="756" t="s">
        <v>21</v>
      </c>
      <c r="I34" s="756">
        <v>2</v>
      </c>
      <c r="J34" s="133"/>
    </row>
    <row r="35" spans="1:10" x14ac:dyDescent="0.25">
      <c r="A35" s="720">
        <v>27</v>
      </c>
      <c r="B35" s="756" t="s">
        <v>27</v>
      </c>
      <c r="C35" s="756" t="s">
        <v>21</v>
      </c>
      <c r="D35" s="756">
        <v>2</v>
      </c>
      <c r="E35" s="782"/>
      <c r="F35" s="720">
        <v>23</v>
      </c>
      <c r="G35" s="756" t="s">
        <v>48</v>
      </c>
      <c r="H35" s="756" t="s">
        <v>43</v>
      </c>
      <c r="I35" s="756">
        <v>2</v>
      </c>
      <c r="J35" s="133"/>
    </row>
    <row r="36" spans="1:10" x14ac:dyDescent="0.25">
      <c r="A36" s="720">
        <v>27</v>
      </c>
      <c r="B36" s="756" t="s">
        <v>31</v>
      </c>
      <c r="C36" s="756" t="s">
        <v>21</v>
      </c>
      <c r="D36" s="756">
        <v>2</v>
      </c>
      <c r="E36" s="782"/>
      <c r="F36" s="720">
        <v>33</v>
      </c>
      <c r="G36" s="756" t="s">
        <v>153</v>
      </c>
      <c r="H36" s="756" t="s">
        <v>5</v>
      </c>
      <c r="I36" s="756">
        <v>1</v>
      </c>
      <c r="J36" s="133"/>
    </row>
    <row r="37" spans="1:10" x14ac:dyDescent="0.25">
      <c r="A37" s="720">
        <v>27</v>
      </c>
      <c r="B37" s="756" t="s">
        <v>152</v>
      </c>
      <c r="C37" s="756" t="s">
        <v>21</v>
      </c>
      <c r="D37" s="756">
        <v>2</v>
      </c>
      <c r="E37" s="782"/>
      <c r="F37" s="720">
        <v>33</v>
      </c>
      <c r="G37" s="756" t="s">
        <v>154</v>
      </c>
      <c r="H37" s="756" t="s">
        <v>172</v>
      </c>
      <c r="I37" s="756">
        <v>1</v>
      </c>
      <c r="J37" s="133"/>
    </row>
    <row r="38" spans="1:10" x14ac:dyDescent="0.25">
      <c r="A38" s="720">
        <v>27</v>
      </c>
      <c r="B38" s="756" t="s">
        <v>321</v>
      </c>
      <c r="C38" s="756" t="s">
        <v>21</v>
      </c>
      <c r="D38" s="756">
        <v>2</v>
      </c>
      <c r="E38" s="782"/>
      <c r="F38" s="720">
        <v>33</v>
      </c>
      <c r="G38" s="756" t="s">
        <v>16</v>
      </c>
      <c r="H38" s="756" t="s">
        <v>5</v>
      </c>
      <c r="I38" s="756">
        <v>1</v>
      </c>
      <c r="J38" s="133"/>
    </row>
    <row r="39" spans="1:10" x14ac:dyDescent="0.25">
      <c r="A39" s="720">
        <v>27</v>
      </c>
      <c r="B39" s="756" t="s">
        <v>26</v>
      </c>
      <c r="C39" s="756" t="s">
        <v>21</v>
      </c>
      <c r="D39" s="756">
        <v>2</v>
      </c>
      <c r="E39" s="782"/>
      <c r="F39" s="720">
        <v>33</v>
      </c>
      <c r="G39" s="756" t="s">
        <v>323</v>
      </c>
      <c r="H39" s="756" t="s">
        <v>21</v>
      </c>
      <c r="I39" s="756">
        <v>1</v>
      </c>
      <c r="J39" s="133"/>
    </row>
    <row r="40" spans="1:10" x14ac:dyDescent="0.25">
      <c r="A40" s="720">
        <v>27</v>
      </c>
      <c r="B40" s="756" t="s">
        <v>38</v>
      </c>
      <c r="C40" s="756" t="s">
        <v>39</v>
      </c>
      <c r="D40" s="756">
        <v>2</v>
      </c>
      <c r="E40" s="782"/>
      <c r="F40" s="720">
        <v>33</v>
      </c>
      <c r="G40" s="756" t="s">
        <v>27</v>
      </c>
      <c r="H40" s="756" t="s">
        <v>21</v>
      </c>
      <c r="I40" s="756">
        <v>1</v>
      </c>
      <c r="J40" s="133"/>
    </row>
    <row r="41" spans="1:10" x14ac:dyDescent="0.25">
      <c r="A41" s="720">
        <v>27</v>
      </c>
      <c r="B41" s="756" t="s">
        <v>55</v>
      </c>
      <c r="C41" s="756" t="s">
        <v>56</v>
      </c>
      <c r="D41" s="756">
        <v>2</v>
      </c>
      <c r="E41" s="782"/>
      <c r="F41" s="720">
        <v>33</v>
      </c>
      <c r="G41" s="756" t="s">
        <v>33</v>
      </c>
      <c r="H41" s="756" t="s">
        <v>21</v>
      </c>
      <c r="I41" s="756">
        <v>1</v>
      </c>
      <c r="J41" s="133"/>
    </row>
    <row r="42" spans="1:10" x14ac:dyDescent="0.25">
      <c r="A42" s="720">
        <v>27</v>
      </c>
      <c r="B42" s="756" t="s">
        <v>59</v>
      </c>
      <c r="C42" s="756" t="s">
        <v>60</v>
      </c>
      <c r="D42" s="756">
        <v>2</v>
      </c>
      <c r="E42" s="782"/>
      <c r="F42" s="720">
        <v>33</v>
      </c>
      <c r="G42" s="756" t="s">
        <v>38</v>
      </c>
      <c r="H42" s="756" t="s">
        <v>39</v>
      </c>
      <c r="I42" s="756">
        <v>1</v>
      </c>
      <c r="J42" s="133"/>
    </row>
    <row r="43" spans="1:10" ht="72" x14ac:dyDescent="0.25">
      <c r="A43" s="720">
        <v>27</v>
      </c>
      <c r="B43" s="756" t="s">
        <v>65</v>
      </c>
      <c r="C43" s="756" t="s">
        <v>63</v>
      </c>
      <c r="D43" s="756">
        <v>2</v>
      </c>
      <c r="E43" s="782"/>
      <c r="F43" s="720">
        <v>33</v>
      </c>
      <c r="G43" s="756" t="s">
        <v>327</v>
      </c>
      <c r="H43" s="756" t="s">
        <v>40</v>
      </c>
      <c r="I43" s="756">
        <v>1</v>
      </c>
      <c r="J43" s="133"/>
    </row>
    <row r="44" spans="1:10" ht="20.25" customHeight="1" x14ac:dyDescent="0.25">
      <c r="A44" s="720">
        <v>41</v>
      </c>
      <c r="B44" s="756" t="s">
        <v>154</v>
      </c>
      <c r="C44" s="756" t="s">
        <v>172</v>
      </c>
      <c r="D44" s="756">
        <v>1</v>
      </c>
      <c r="E44" s="782"/>
      <c r="F44" s="720">
        <v>33</v>
      </c>
      <c r="G44" s="756" t="s">
        <v>164</v>
      </c>
      <c r="H44" s="756" t="s">
        <v>43</v>
      </c>
      <c r="I44" s="756">
        <v>1</v>
      </c>
      <c r="J44" s="133"/>
    </row>
    <row r="45" spans="1:10" ht="29.25" x14ac:dyDescent="0.25">
      <c r="A45" s="720">
        <v>41</v>
      </c>
      <c r="B45" s="756" t="s">
        <v>4</v>
      </c>
      <c r="C45" s="756" t="s">
        <v>5</v>
      </c>
      <c r="D45" s="756">
        <v>1</v>
      </c>
      <c r="E45" s="782"/>
      <c r="F45" s="720">
        <v>33</v>
      </c>
      <c r="G45" s="756" t="s">
        <v>317</v>
      </c>
      <c r="H45" s="756" t="s">
        <v>43</v>
      </c>
      <c r="I45" s="756">
        <v>1</v>
      </c>
      <c r="J45" s="133"/>
    </row>
    <row r="46" spans="1:10" x14ac:dyDescent="0.25">
      <c r="A46" s="720">
        <v>41</v>
      </c>
      <c r="B46" s="756" t="s">
        <v>12</v>
      </c>
      <c r="C46" s="756" t="s">
        <v>5</v>
      </c>
      <c r="D46" s="756">
        <v>1</v>
      </c>
      <c r="E46" s="782"/>
      <c r="F46" s="720">
        <v>33</v>
      </c>
      <c r="G46" s="756" t="s">
        <v>46</v>
      </c>
      <c r="H46" s="756" t="s">
        <v>43</v>
      </c>
      <c r="I46" s="756">
        <v>1</v>
      </c>
      <c r="J46" s="133"/>
    </row>
    <row r="47" spans="1:10" ht="29.25" x14ac:dyDescent="0.25">
      <c r="A47" s="720">
        <v>41</v>
      </c>
      <c r="B47" s="756" t="s">
        <v>9</v>
      </c>
      <c r="C47" s="756" t="s">
        <v>5</v>
      </c>
      <c r="D47" s="756">
        <v>1</v>
      </c>
      <c r="E47" s="782"/>
      <c r="F47" s="720">
        <v>33</v>
      </c>
      <c r="G47" s="756" t="s">
        <v>318</v>
      </c>
      <c r="H47" s="756" t="s">
        <v>43</v>
      </c>
      <c r="I47" s="756">
        <v>1</v>
      </c>
      <c r="J47" s="133"/>
    </row>
    <row r="48" spans="1:10" x14ac:dyDescent="0.25">
      <c r="A48" s="720">
        <v>41</v>
      </c>
      <c r="B48" s="756" t="s">
        <v>17</v>
      </c>
      <c r="C48" s="756" t="s">
        <v>18</v>
      </c>
      <c r="D48" s="756">
        <v>1</v>
      </c>
      <c r="E48" s="782"/>
      <c r="F48" s="720">
        <v>33</v>
      </c>
      <c r="G48" s="756" t="s">
        <v>55</v>
      </c>
      <c r="H48" s="756" t="s">
        <v>56</v>
      </c>
      <c r="I48" s="756">
        <v>1</v>
      </c>
      <c r="J48" s="133"/>
    </row>
    <row r="49" spans="1:10" x14ac:dyDescent="0.25">
      <c r="A49" s="720">
        <v>41</v>
      </c>
      <c r="B49" s="756" t="s">
        <v>30</v>
      </c>
      <c r="C49" s="756" t="s">
        <v>21</v>
      </c>
      <c r="D49" s="756">
        <v>1</v>
      </c>
      <c r="E49" s="782"/>
      <c r="F49" s="720">
        <v>33</v>
      </c>
      <c r="G49" s="756" t="s">
        <v>61</v>
      </c>
      <c r="H49" s="756" t="s">
        <v>62</v>
      </c>
      <c r="I49" s="756">
        <v>1</v>
      </c>
      <c r="J49" s="133"/>
    </row>
    <row r="50" spans="1:10" x14ac:dyDescent="0.25">
      <c r="A50" s="720">
        <v>41</v>
      </c>
      <c r="B50" s="756" t="s">
        <v>32</v>
      </c>
      <c r="C50" s="756" t="s">
        <v>21</v>
      </c>
      <c r="D50" s="756">
        <v>1</v>
      </c>
      <c r="E50" s="782"/>
      <c r="F50" s="720">
        <v>33</v>
      </c>
      <c r="G50" s="756" t="s">
        <v>65</v>
      </c>
      <c r="H50" s="756" t="s">
        <v>63</v>
      </c>
      <c r="I50" s="756">
        <v>1</v>
      </c>
      <c r="J50" s="133"/>
    </row>
    <row r="51" spans="1:10" x14ac:dyDescent="0.25">
      <c r="A51" s="720">
        <v>41</v>
      </c>
      <c r="B51" s="756" t="s">
        <v>34</v>
      </c>
      <c r="C51" s="756" t="s">
        <v>21</v>
      </c>
      <c r="D51" s="756">
        <v>1</v>
      </c>
      <c r="E51" s="782"/>
      <c r="F51" s="720">
        <v>33</v>
      </c>
      <c r="G51" s="756" t="s">
        <v>23</v>
      </c>
      <c r="H51" s="756" t="s">
        <v>63</v>
      </c>
      <c r="I51" s="756">
        <v>1</v>
      </c>
      <c r="J51" s="133"/>
    </row>
    <row r="52" spans="1:10" x14ac:dyDescent="0.25">
      <c r="A52" s="720">
        <v>41</v>
      </c>
      <c r="B52" s="756" t="s">
        <v>72</v>
      </c>
      <c r="C52" s="756" t="s">
        <v>52</v>
      </c>
      <c r="D52" s="756">
        <v>1</v>
      </c>
      <c r="E52" s="782"/>
      <c r="F52" s="720">
        <v>49</v>
      </c>
      <c r="G52" s="756" t="s">
        <v>66</v>
      </c>
      <c r="H52" s="756" t="s">
        <v>67</v>
      </c>
      <c r="I52" s="756">
        <v>1</v>
      </c>
      <c r="J52" s="133"/>
    </row>
    <row r="53" spans="1:10" ht="18.75" customHeight="1" x14ac:dyDescent="0.25">
      <c r="A53" s="720">
        <v>41</v>
      </c>
      <c r="B53" s="756" t="s">
        <v>22</v>
      </c>
      <c r="C53" s="756" t="s">
        <v>167</v>
      </c>
      <c r="D53" s="756">
        <v>1</v>
      </c>
      <c r="E53" s="782"/>
      <c r="F53" s="720">
        <v>49</v>
      </c>
      <c r="G53" s="756" t="s">
        <v>319</v>
      </c>
      <c r="H53" s="756" t="s">
        <v>5</v>
      </c>
      <c r="I53" s="756">
        <v>0</v>
      </c>
      <c r="J53" s="133"/>
    </row>
    <row r="54" spans="1:10" x14ac:dyDescent="0.25">
      <c r="A54" s="720">
        <v>41</v>
      </c>
      <c r="B54" s="756" t="s">
        <v>64</v>
      </c>
      <c r="C54" s="756" t="s">
        <v>63</v>
      </c>
      <c r="D54" s="756">
        <v>1</v>
      </c>
      <c r="E54" s="782"/>
      <c r="F54" s="720">
        <v>49</v>
      </c>
      <c r="G54" s="756" t="s">
        <v>8</v>
      </c>
      <c r="H54" s="756" t="s">
        <v>5</v>
      </c>
      <c r="I54" s="756">
        <v>0</v>
      </c>
      <c r="J54" s="133"/>
    </row>
    <row r="55" spans="1:10" x14ac:dyDescent="0.25">
      <c r="A55" s="720">
        <v>52</v>
      </c>
      <c r="B55" s="756" t="s">
        <v>36</v>
      </c>
      <c r="C55" s="756" t="s">
        <v>21</v>
      </c>
      <c r="D55" s="756">
        <v>0</v>
      </c>
      <c r="E55" s="782"/>
      <c r="F55" s="720">
        <v>49</v>
      </c>
      <c r="G55" s="756" t="s">
        <v>169</v>
      </c>
      <c r="H55" s="756" t="s">
        <v>21</v>
      </c>
      <c r="I55" s="756">
        <v>0</v>
      </c>
      <c r="J55" s="133"/>
    </row>
    <row r="56" spans="1:10" x14ac:dyDescent="0.25">
      <c r="A56" s="720">
        <v>52</v>
      </c>
      <c r="B56" s="756" t="s">
        <v>33</v>
      </c>
      <c r="C56" s="756" t="s">
        <v>21</v>
      </c>
      <c r="D56" s="756">
        <v>0</v>
      </c>
      <c r="E56" s="782"/>
      <c r="F56" s="720">
        <v>49</v>
      </c>
      <c r="G56" s="756" t="s">
        <v>320</v>
      </c>
      <c r="H56" s="756" t="s">
        <v>21</v>
      </c>
      <c r="I56" s="756">
        <v>0</v>
      </c>
      <c r="J56" s="133"/>
    </row>
    <row r="57" spans="1:10" x14ac:dyDescent="0.25">
      <c r="A57" s="720">
        <v>52</v>
      </c>
      <c r="B57" s="756" t="s">
        <v>322</v>
      </c>
      <c r="C57" s="756" t="s">
        <v>21</v>
      </c>
      <c r="D57" s="756">
        <v>0</v>
      </c>
      <c r="E57" s="782"/>
      <c r="F57" s="720">
        <v>49</v>
      </c>
      <c r="G57" s="756" t="s">
        <v>324</v>
      </c>
      <c r="H57" s="756" t="s">
        <v>40</v>
      </c>
      <c r="I57" s="756">
        <v>0</v>
      </c>
      <c r="J57" s="133"/>
    </row>
    <row r="58" spans="1:10" x14ac:dyDescent="0.25">
      <c r="A58" s="720">
        <v>52</v>
      </c>
      <c r="B58" s="756" t="s">
        <v>28</v>
      </c>
      <c r="C58" s="756" t="s">
        <v>21</v>
      </c>
      <c r="D58" s="756">
        <v>0</v>
      </c>
      <c r="E58" s="782"/>
      <c r="F58" s="720">
        <v>49</v>
      </c>
      <c r="G58" s="756" t="s">
        <v>50</v>
      </c>
      <c r="H58" s="756" t="s">
        <v>43</v>
      </c>
      <c r="I58" s="756">
        <v>0</v>
      </c>
      <c r="J58" s="133"/>
    </row>
    <row r="59" spans="1:10" x14ac:dyDescent="0.25">
      <c r="A59" s="720">
        <v>52</v>
      </c>
      <c r="B59" s="756" t="s">
        <v>70</v>
      </c>
      <c r="C59" s="756" t="s">
        <v>21</v>
      </c>
      <c r="D59" s="756">
        <v>0</v>
      </c>
      <c r="E59" s="782"/>
      <c r="F59" s="720">
        <v>49</v>
      </c>
      <c r="G59" s="756" t="s">
        <v>42</v>
      </c>
      <c r="H59" s="756" t="s">
        <v>43</v>
      </c>
      <c r="I59" s="756">
        <v>0</v>
      </c>
    </row>
    <row r="60" spans="1:10" x14ac:dyDescent="0.25">
      <c r="A60" s="720">
        <v>52</v>
      </c>
      <c r="B60" s="756" t="s">
        <v>41</v>
      </c>
      <c r="C60" s="756" t="s">
        <v>40</v>
      </c>
      <c r="D60" s="756">
        <v>0</v>
      </c>
      <c r="E60" s="782"/>
      <c r="F60" s="720">
        <v>49</v>
      </c>
      <c r="G60" s="756" t="s">
        <v>53</v>
      </c>
      <c r="H60" s="756" t="s">
        <v>54</v>
      </c>
      <c r="I60" s="756">
        <v>0</v>
      </c>
    </row>
    <row r="61" spans="1:10" x14ac:dyDescent="0.25">
      <c r="A61" s="720">
        <v>52</v>
      </c>
      <c r="B61" s="756" t="s">
        <v>326</v>
      </c>
      <c r="C61" s="756" t="s">
        <v>52</v>
      </c>
      <c r="D61" s="756">
        <v>0</v>
      </c>
      <c r="E61" s="782"/>
      <c r="F61" s="720">
        <v>49</v>
      </c>
      <c r="G61" s="756" t="s">
        <v>64</v>
      </c>
      <c r="H61" s="756" t="s">
        <v>63</v>
      </c>
      <c r="I61" s="756">
        <v>0</v>
      </c>
    </row>
    <row r="62" spans="1:10" x14ac:dyDescent="0.25">
      <c r="I62"/>
    </row>
    <row r="63" spans="1:10" x14ac:dyDescent="0.25">
      <c r="I63"/>
    </row>
    <row r="64" spans="1:10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</sheetData>
  <sheetProtection password="EC77" sheet="1" objects="1" scenarios="1"/>
  <sortState ref="A4:D58">
    <sortCondition descending="1" ref="D4:D58"/>
    <sortCondition ref="B4:B58"/>
  </sortState>
  <mergeCells count="1">
    <mergeCell ref="B1:I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66"/>
  <sheetViews>
    <sheetView topLeftCell="A4" zoomScale="96" zoomScaleNormal="96" workbookViewId="0">
      <selection activeCell="F24" sqref="F24"/>
    </sheetView>
  </sheetViews>
  <sheetFormatPr defaultRowHeight="15" x14ac:dyDescent="0.25"/>
  <cols>
    <col min="1" max="1" width="49.5703125" customWidth="1"/>
    <col min="2" max="2" width="9.85546875" customWidth="1"/>
    <col min="3" max="3" width="15" customWidth="1"/>
    <col min="4" max="4" width="13.42578125" customWidth="1"/>
    <col min="5" max="5" width="15.42578125" customWidth="1"/>
    <col min="6" max="6" width="9.140625" style="254"/>
    <col min="10" max="10" width="9.140625" customWidth="1"/>
    <col min="11" max="11" width="37.7109375" customWidth="1"/>
    <col min="13" max="13" width="13.5703125" customWidth="1"/>
    <col min="16" max="16" width="13.7109375" customWidth="1"/>
  </cols>
  <sheetData>
    <row r="1" spans="1:18" ht="18.75" x14ac:dyDescent="0.3">
      <c r="A1" s="835" t="s">
        <v>241</v>
      </c>
      <c r="B1" s="835"/>
      <c r="C1" s="835"/>
      <c r="D1" s="835"/>
      <c r="E1" s="835"/>
      <c r="F1" s="835"/>
    </row>
    <row r="2" spans="1:18" ht="16.5" customHeight="1" x14ac:dyDescent="0.25">
      <c r="A2" s="829" t="s">
        <v>151</v>
      </c>
      <c r="B2" s="830"/>
      <c r="C2" s="830"/>
      <c r="D2" s="830"/>
      <c r="E2" s="830"/>
      <c r="F2" s="831"/>
      <c r="G2" s="129"/>
      <c r="H2" s="128"/>
    </row>
    <row r="3" spans="1:18" s="17" customFormat="1" ht="15" customHeight="1" x14ac:dyDescent="0.25">
      <c r="A3" s="832"/>
      <c r="B3" s="833"/>
      <c r="C3" s="833"/>
      <c r="D3" s="833"/>
      <c r="E3" s="833"/>
      <c r="F3" s="834"/>
      <c r="G3" s="55"/>
      <c r="H3" s="55"/>
      <c r="K3"/>
      <c r="L3"/>
      <c r="M3"/>
      <c r="N3"/>
      <c r="O3"/>
      <c r="P3"/>
      <c r="Q3"/>
      <c r="R3"/>
    </row>
    <row r="4" spans="1:18" ht="60" customHeight="1" x14ac:dyDescent="0.25">
      <c r="A4" s="223" t="s">
        <v>77</v>
      </c>
      <c r="B4" s="223" t="s">
        <v>3</v>
      </c>
      <c r="C4" s="223" t="s">
        <v>89</v>
      </c>
      <c r="D4" s="224" t="s">
        <v>197</v>
      </c>
      <c r="E4" s="224" t="s">
        <v>198</v>
      </c>
      <c r="F4" s="224" t="s">
        <v>239</v>
      </c>
    </row>
    <row r="5" spans="1:18" ht="29.25" x14ac:dyDescent="0.25">
      <c r="A5" s="757" t="s">
        <v>142</v>
      </c>
      <c r="B5" s="757" t="s">
        <v>3</v>
      </c>
      <c r="C5" s="758" t="s">
        <v>89</v>
      </c>
      <c r="D5" s="757" t="s">
        <v>78</v>
      </c>
      <c r="E5" s="757" t="s">
        <v>79</v>
      </c>
      <c r="F5" s="757" t="s">
        <v>156</v>
      </c>
    </row>
    <row r="6" spans="1:18" x14ac:dyDescent="0.25">
      <c r="A6" s="757" t="s">
        <v>320</v>
      </c>
      <c r="B6" s="757" t="s">
        <v>21</v>
      </c>
      <c r="C6" s="758" t="s">
        <v>107</v>
      </c>
      <c r="D6" s="757">
        <v>6</v>
      </c>
      <c r="E6" s="757">
        <v>0</v>
      </c>
      <c r="F6" s="757">
        <v>6</v>
      </c>
    </row>
    <row r="7" spans="1:18" x14ac:dyDescent="0.25">
      <c r="A7" s="757" t="s">
        <v>8</v>
      </c>
      <c r="B7" s="757" t="s">
        <v>5</v>
      </c>
      <c r="C7" s="758">
        <v>129</v>
      </c>
      <c r="D7" s="757">
        <v>4</v>
      </c>
      <c r="E7" s="757">
        <v>0</v>
      </c>
      <c r="F7" s="757">
        <v>4</v>
      </c>
    </row>
    <row r="8" spans="1:18" ht="34.5" customHeight="1" x14ac:dyDescent="0.25">
      <c r="A8" s="757" t="s">
        <v>169</v>
      </c>
      <c r="B8" s="757" t="s">
        <v>21</v>
      </c>
      <c r="C8" s="758">
        <v>350</v>
      </c>
      <c r="D8" s="757">
        <v>4</v>
      </c>
      <c r="E8" s="757">
        <v>0</v>
      </c>
      <c r="F8" s="757">
        <v>4</v>
      </c>
    </row>
    <row r="9" spans="1:18" x14ac:dyDescent="0.25">
      <c r="A9" s="757" t="s">
        <v>324</v>
      </c>
      <c r="B9" s="757" t="s">
        <v>40</v>
      </c>
      <c r="C9" s="758" t="s">
        <v>123</v>
      </c>
      <c r="D9" s="757">
        <v>4</v>
      </c>
      <c r="E9" s="757">
        <v>0</v>
      </c>
      <c r="F9" s="757">
        <v>4</v>
      </c>
    </row>
    <row r="10" spans="1:18" ht="29.25" x14ac:dyDescent="0.25">
      <c r="A10" s="757" t="s">
        <v>318</v>
      </c>
      <c r="B10" s="757" t="s">
        <v>43</v>
      </c>
      <c r="C10" s="758" t="s">
        <v>315</v>
      </c>
      <c r="D10" s="757">
        <v>5</v>
      </c>
      <c r="E10" s="757">
        <v>1</v>
      </c>
      <c r="F10" s="757">
        <v>4</v>
      </c>
    </row>
    <row r="11" spans="1:18" x14ac:dyDescent="0.25">
      <c r="A11" s="757" t="s">
        <v>53</v>
      </c>
      <c r="B11" s="757" t="s">
        <v>54</v>
      </c>
      <c r="C11" s="758">
        <v>77</v>
      </c>
      <c r="D11" s="757">
        <v>4</v>
      </c>
      <c r="E11" s="757">
        <v>0</v>
      </c>
      <c r="F11" s="757">
        <v>4</v>
      </c>
    </row>
    <row r="12" spans="1:18" x14ac:dyDescent="0.25">
      <c r="A12" s="757" t="s">
        <v>61</v>
      </c>
      <c r="B12" s="757" t="s">
        <v>62</v>
      </c>
      <c r="C12" s="758">
        <v>107</v>
      </c>
      <c r="D12" s="757">
        <v>5</v>
      </c>
      <c r="E12" s="757">
        <v>1</v>
      </c>
      <c r="F12" s="757">
        <v>4</v>
      </c>
    </row>
    <row r="13" spans="1:18" x14ac:dyDescent="0.25">
      <c r="A13" s="757" t="s">
        <v>23</v>
      </c>
      <c r="B13" s="757" t="s">
        <v>63</v>
      </c>
      <c r="C13" s="758">
        <v>115</v>
      </c>
      <c r="D13" s="757">
        <v>5</v>
      </c>
      <c r="E13" s="757">
        <v>1</v>
      </c>
      <c r="F13" s="757">
        <v>4</v>
      </c>
    </row>
    <row r="14" spans="1:18" x14ac:dyDescent="0.25">
      <c r="A14" s="757" t="s">
        <v>16</v>
      </c>
      <c r="B14" s="757" t="s">
        <v>5</v>
      </c>
      <c r="C14" s="758">
        <v>62</v>
      </c>
      <c r="D14" s="757">
        <v>4</v>
      </c>
      <c r="E14" s="757">
        <v>1</v>
      </c>
      <c r="F14" s="757">
        <v>3</v>
      </c>
    </row>
    <row r="15" spans="1:18" ht="29.25" x14ac:dyDescent="0.25">
      <c r="A15" s="757" t="s">
        <v>319</v>
      </c>
      <c r="B15" s="757" t="s">
        <v>5</v>
      </c>
      <c r="C15" s="758" t="s">
        <v>103</v>
      </c>
      <c r="D15" s="757">
        <v>3</v>
      </c>
      <c r="E15" s="757">
        <v>0</v>
      </c>
      <c r="F15" s="757">
        <v>3</v>
      </c>
    </row>
    <row r="16" spans="1:18" ht="72" x14ac:dyDescent="0.25">
      <c r="A16" s="757" t="s">
        <v>327</v>
      </c>
      <c r="B16" s="757" t="s">
        <v>40</v>
      </c>
      <c r="C16" s="758" t="s">
        <v>348</v>
      </c>
      <c r="D16" s="757">
        <v>4</v>
      </c>
      <c r="E16" s="757">
        <v>1</v>
      </c>
      <c r="F16" s="757">
        <v>3</v>
      </c>
    </row>
    <row r="17" spans="1:6" x14ac:dyDescent="0.25">
      <c r="A17" s="757" t="s">
        <v>164</v>
      </c>
      <c r="B17" s="757" t="s">
        <v>43</v>
      </c>
      <c r="C17" s="758" t="s">
        <v>111</v>
      </c>
      <c r="D17" s="757">
        <v>4</v>
      </c>
      <c r="E17" s="757">
        <v>1</v>
      </c>
      <c r="F17" s="757">
        <v>3</v>
      </c>
    </row>
    <row r="18" spans="1:6" x14ac:dyDescent="0.25">
      <c r="A18" s="757" t="s">
        <v>50</v>
      </c>
      <c r="B18" s="757" t="s">
        <v>43</v>
      </c>
      <c r="C18" s="758">
        <v>345</v>
      </c>
      <c r="D18" s="757">
        <v>3</v>
      </c>
      <c r="E18" s="757">
        <v>0</v>
      </c>
      <c r="F18" s="757">
        <v>3</v>
      </c>
    </row>
    <row r="19" spans="1:6" x14ac:dyDescent="0.25">
      <c r="A19" s="757" t="s">
        <v>42</v>
      </c>
      <c r="B19" s="757" t="s">
        <v>43</v>
      </c>
      <c r="C19" s="758">
        <v>349</v>
      </c>
      <c r="D19" s="757">
        <v>3</v>
      </c>
      <c r="E19" s="757">
        <v>0</v>
      </c>
      <c r="F19" s="757">
        <v>3</v>
      </c>
    </row>
    <row r="20" spans="1:6" x14ac:dyDescent="0.25">
      <c r="A20" s="757" t="s">
        <v>48</v>
      </c>
      <c r="B20" s="757" t="s">
        <v>43</v>
      </c>
      <c r="C20" s="758">
        <v>56</v>
      </c>
      <c r="D20" s="757">
        <v>5</v>
      </c>
      <c r="E20" s="757">
        <v>2</v>
      </c>
      <c r="F20" s="757">
        <v>3</v>
      </c>
    </row>
    <row r="21" spans="1:6" x14ac:dyDescent="0.25">
      <c r="A21" s="757" t="s">
        <v>153</v>
      </c>
      <c r="B21" s="757" t="s">
        <v>5</v>
      </c>
      <c r="C21" s="758">
        <v>333</v>
      </c>
      <c r="D21" s="757">
        <v>3</v>
      </c>
      <c r="E21" s="757">
        <v>1</v>
      </c>
      <c r="F21" s="757">
        <v>2</v>
      </c>
    </row>
    <row r="22" spans="1:6" x14ac:dyDescent="0.25">
      <c r="A22" s="757" t="s">
        <v>14</v>
      </c>
      <c r="B22" s="757" t="s">
        <v>5</v>
      </c>
      <c r="C22" s="758" t="s">
        <v>314</v>
      </c>
      <c r="D22" s="757">
        <v>4</v>
      </c>
      <c r="E22" s="757">
        <v>2</v>
      </c>
      <c r="F22" s="757">
        <v>2</v>
      </c>
    </row>
    <row r="23" spans="1:6" x14ac:dyDescent="0.25">
      <c r="A23" s="757" t="s">
        <v>323</v>
      </c>
      <c r="B23" s="757" t="s">
        <v>21</v>
      </c>
      <c r="C23" s="758" t="s">
        <v>105</v>
      </c>
      <c r="D23" s="757">
        <v>3</v>
      </c>
      <c r="E23" s="757">
        <v>1</v>
      </c>
      <c r="F23" s="757">
        <v>2</v>
      </c>
    </row>
    <row r="24" spans="1:6" ht="29.25" x14ac:dyDescent="0.25">
      <c r="A24" s="757" t="s">
        <v>317</v>
      </c>
      <c r="B24" s="757" t="s">
        <v>43</v>
      </c>
      <c r="C24" s="758" t="s">
        <v>313</v>
      </c>
      <c r="D24" s="757">
        <v>3</v>
      </c>
      <c r="E24" s="757">
        <v>1</v>
      </c>
      <c r="F24" s="757">
        <v>2</v>
      </c>
    </row>
    <row r="25" spans="1:6" x14ac:dyDescent="0.25">
      <c r="A25" s="757" t="s">
        <v>46</v>
      </c>
      <c r="B25" s="757" t="s">
        <v>43</v>
      </c>
      <c r="C25" s="758">
        <v>83</v>
      </c>
      <c r="D25" s="757">
        <v>3</v>
      </c>
      <c r="E25" s="757">
        <v>1</v>
      </c>
      <c r="F25" s="757">
        <v>2</v>
      </c>
    </row>
    <row r="26" spans="1:6" s="683" customFormat="1" x14ac:dyDescent="0.25">
      <c r="A26" s="757" t="s">
        <v>66</v>
      </c>
      <c r="B26" s="757" t="s">
        <v>67</v>
      </c>
      <c r="C26" s="758">
        <v>137</v>
      </c>
      <c r="D26" s="757">
        <v>3</v>
      </c>
      <c r="E26" s="757">
        <v>1</v>
      </c>
      <c r="F26" s="757">
        <v>2</v>
      </c>
    </row>
    <row r="27" spans="1:6" x14ac:dyDescent="0.25">
      <c r="A27" s="757" t="s">
        <v>11</v>
      </c>
      <c r="B27" s="757" t="s">
        <v>5</v>
      </c>
      <c r="C27" s="758">
        <v>113</v>
      </c>
      <c r="D27" s="757">
        <v>4</v>
      </c>
      <c r="E27" s="757">
        <v>3</v>
      </c>
      <c r="F27" s="757">
        <v>1</v>
      </c>
    </row>
    <row r="28" spans="1:6" x14ac:dyDescent="0.25">
      <c r="A28" s="757" t="s">
        <v>13</v>
      </c>
      <c r="B28" s="757" t="s">
        <v>5</v>
      </c>
      <c r="C28" s="758">
        <v>138</v>
      </c>
      <c r="D28" s="757">
        <v>3</v>
      </c>
      <c r="E28" s="757">
        <v>2</v>
      </c>
      <c r="F28" s="757">
        <v>1</v>
      </c>
    </row>
    <row r="29" spans="1:6" x14ac:dyDescent="0.25">
      <c r="A29" s="757" t="s">
        <v>27</v>
      </c>
      <c r="B29" s="757" t="s">
        <v>21</v>
      </c>
      <c r="C29" s="758">
        <v>60</v>
      </c>
      <c r="D29" s="757">
        <v>2</v>
      </c>
      <c r="E29" s="757">
        <v>1</v>
      </c>
      <c r="F29" s="757">
        <v>1</v>
      </c>
    </row>
    <row r="30" spans="1:6" x14ac:dyDescent="0.25">
      <c r="A30" s="757" t="s">
        <v>38</v>
      </c>
      <c r="B30" s="757" t="s">
        <v>39</v>
      </c>
      <c r="C30" s="758">
        <v>141</v>
      </c>
      <c r="D30" s="757">
        <v>2</v>
      </c>
      <c r="E30" s="757">
        <v>1</v>
      </c>
      <c r="F30" s="757">
        <v>1</v>
      </c>
    </row>
    <row r="31" spans="1:6" x14ac:dyDescent="0.25">
      <c r="A31" s="757" t="s">
        <v>55</v>
      </c>
      <c r="B31" s="757" t="s">
        <v>56</v>
      </c>
      <c r="C31" s="758">
        <v>92</v>
      </c>
      <c r="D31" s="757">
        <v>2</v>
      </c>
      <c r="E31" s="757">
        <v>1</v>
      </c>
      <c r="F31" s="757">
        <v>1</v>
      </c>
    </row>
    <row r="32" spans="1:6" x14ac:dyDescent="0.25">
      <c r="A32" s="757" t="s">
        <v>65</v>
      </c>
      <c r="B32" s="757" t="s">
        <v>63</v>
      </c>
      <c r="C32" s="758">
        <v>79</v>
      </c>
      <c r="D32" s="757">
        <v>2</v>
      </c>
      <c r="E32" s="757">
        <v>1</v>
      </c>
      <c r="F32" s="757">
        <v>1</v>
      </c>
    </row>
    <row r="33" spans="1:6" x14ac:dyDescent="0.25">
      <c r="A33" s="757" t="s">
        <v>64</v>
      </c>
      <c r="B33" s="757" t="s">
        <v>63</v>
      </c>
      <c r="C33" s="758">
        <v>120</v>
      </c>
      <c r="D33" s="757">
        <v>1</v>
      </c>
      <c r="E33" s="757">
        <v>0</v>
      </c>
      <c r="F33" s="757">
        <v>1</v>
      </c>
    </row>
    <row r="34" spans="1:6" x14ac:dyDescent="0.25">
      <c r="A34" s="757" t="s">
        <v>154</v>
      </c>
      <c r="B34" s="757" t="s">
        <v>172</v>
      </c>
      <c r="C34" s="758">
        <v>332</v>
      </c>
      <c r="D34" s="757">
        <v>1</v>
      </c>
      <c r="E34" s="757">
        <v>1</v>
      </c>
      <c r="F34" s="757">
        <v>0</v>
      </c>
    </row>
    <row r="35" spans="1:6" x14ac:dyDescent="0.25">
      <c r="A35" s="757" t="s">
        <v>15</v>
      </c>
      <c r="B35" s="757" t="s">
        <v>5</v>
      </c>
      <c r="C35" s="758">
        <v>334</v>
      </c>
      <c r="D35" s="757">
        <v>3</v>
      </c>
      <c r="E35" s="757">
        <v>3</v>
      </c>
      <c r="F35" s="757">
        <v>0</v>
      </c>
    </row>
    <row r="36" spans="1:6" x14ac:dyDescent="0.25">
      <c r="A36" s="757" t="s">
        <v>10</v>
      </c>
      <c r="B36" s="757" t="s">
        <v>5</v>
      </c>
      <c r="C36" s="758" t="s">
        <v>162</v>
      </c>
      <c r="D36" s="757">
        <v>2</v>
      </c>
      <c r="E36" s="757">
        <v>2</v>
      </c>
      <c r="F36" s="757">
        <v>0</v>
      </c>
    </row>
    <row r="37" spans="1:6" x14ac:dyDescent="0.25">
      <c r="A37" s="757" t="s">
        <v>29</v>
      </c>
      <c r="B37" s="757" t="s">
        <v>21</v>
      </c>
      <c r="C37" s="758">
        <v>336</v>
      </c>
      <c r="D37" s="757">
        <v>2</v>
      </c>
      <c r="E37" s="757">
        <v>2</v>
      </c>
      <c r="F37" s="757">
        <v>0</v>
      </c>
    </row>
    <row r="38" spans="1:6" x14ac:dyDescent="0.25">
      <c r="A38" s="757" t="s">
        <v>19</v>
      </c>
      <c r="B38" s="757" t="s">
        <v>18</v>
      </c>
      <c r="C38" s="758">
        <v>53</v>
      </c>
      <c r="D38" s="757">
        <v>2</v>
      </c>
      <c r="E38" s="757">
        <v>2</v>
      </c>
      <c r="F38" s="757">
        <v>0</v>
      </c>
    </row>
    <row r="39" spans="1:6" x14ac:dyDescent="0.25">
      <c r="A39" s="757" t="s">
        <v>25</v>
      </c>
      <c r="B39" s="757" t="s">
        <v>21</v>
      </c>
      <c r="C39" s="758">
        <v>110</v>
      </c>
      <c r="D39" s="757">
        <v>3</v>
      </c>
      <c r="E39" s="757">
        <v>3</v>
      </c>
      <c r="F39" s="757">
        <v>0</v>
      </c>
    </row>
    <row r="40" spans="1:6" x14ac:dyDescent="0.25">
      <c r="A40" s="757" t="s">
        <v>152</v>
      </c>
      <c r="B40" s="757" t="s">
        <v>21</v>
      </c>
      <c r="C40" s="758" t="s">
        <v>158</v>
      </c>
      <c r="D40" s="757">
        <v>2</v>
      </c>
      <c r="E40" s="757">
        <v>2</v>
      </c>
      <c r="F40" s="757">
        <v>0</v>
      </c>
    </row>
    <row r="41" spans="1:6" x14ac:dyDescent="0.25">
      <c r="A41" s="757" t="s">
        <v>321</v>
      </c>
      <c r="B41" s="757" t="s">
        <v>21</v>
      </c>
      <c r="C41" s="758" t="s">
        <v>109</v>
      </c>
      <c r="D41" s="757">
        <v>2</v>
      </c>
      <c r="E41" s="757">
        <v>2</v>
      </c>
      <c r="F41" s="757">
        <v>0</v>
      </c>
    </row>
    <row r="42" spans="1:6" x14ac:dyDescent="0.25">
      <c r="A42" s="757" t="s">
        <v>51</v>
      </c>
      <c r="B42" s="757" t="s">
        <v>43</v>
      </c>
      <c r="C42" s="758">
        <v>45</v>
      </c>
      <c r="D42" s="757">
        <v>4</v>
      </c>
      <c r="E42" s="757">
        <v>4</v>
      </c>
      <c r="F42" s="757">
        <v>0</v>
      </c>
    </row>
    <row r="43" spans="1:6" x14ac:dyDescent="0.25">
      <c r="A43" s="757" t="s">
        <v>9</v>
      </c>
      <c r="B43" s="757" t="s">
        <v>5</v>
      </c>
      <c r="C43" s="758">
        <v>99</v>
      </c>
      <c r="D43" s="757">
        <v>1</v>
      </c>
      <c r="E43" s="757">
        <v>2</v>
      </c>
      <c r="F43" s="757">
        <v>-1</v>
      </c>
    </row>
    <row r="44" spans="1:6" x14ac:dyDescent="0.25">
      <c r="A44" s="757" t="s">
        <v>17</v>
      </c>
      <c r="B44" s="757" t="s">
        <v>18</v>
      </c>
      <c r="C44" s="758">
        <v>348</v>
      </c>
      <c r="D44" s="757">
        <v>1</v>
      </c>
      <c r="E44" s="757">
        <v>2</v>
      </c>
      <c r="F44" s="757">
        <v>-1</v>
      </c>
    </row>
    <row r="45" spans="1:6" x14ac:dyDescent="0.25">
      <c r="A45" s="757" t="s">
        <v>33</v>
      </c>
      <c r="B45" s="757" t="s">
        <v>21</v>
      </c>
      <c r="C45" s="758">
        <v>74</v>
      </c>
      <c r="D45" s="757">
        <v>0</v>
      </c>
      <c r="E45" s="757">
        <v>1</v>
      </c>
      <c r="F45" s="757">
        <v>-1</v>
      </c>
    </row>
    <row r="46" spans="1:6" x14ac:dyDescent="0.25">
      <c r="A46" s="757" t="s">
        <v>26</v>
      </c>
      <c r="B46" s="757" t="s">
        <v>21</v>
      </c>
      <c r="C46" s="758">
        <v>132</v>
      </c>
      <c r="D46" s="757">
        <v>2</v>
      </c>
      <c r="E46" s="757">
        <v>3</v>
      </c>
      <c r="F46" s="757">
        <v>-1</v>
      </c>
    </row>
    <row r="47" spans="1:6" x14ac:dyDescent="0.25">
      <c r="A47" s="757" t="s">
        <v>24</v>
      </c>
      <c r="B47" s="757" t="s">
        <v>21</v>
      </c>
      <c r="C47" s="758">
        <v>342</v>
      </c>
      <c r="D47" s="757">
        <v>2</v>
      </c>
      <c r="E47" s="757">
        <v>4</v>
      </c>
      <c r="F47" s="757">
        <v>-2</v>
      </c>
    </row>
    <row r="48" spans="1:6" x14ac:dyDescent="0.25">
      <c r="A48" s="757" t="s">
        <v>30</v>
      </c>
      <c r="B48" s="757" t="s">
        <v>21</v>
      </c>
      <c r="C48" s="758">
        <v>81</v>
      </c>
      <c r="D48" s="757">
        <v>1</v>
      </c>
      <c r="E48" s="757">
        <v>3</v>
      </c>
      <c r="F48" s="757">
        <v>-2</v>
      </c>
    </row>
    <row r="49" spans="1:6" x14ac:dyDescent="0.25">
      <c r="A49" s="757" t="s">
        <v>32</v>
      </c>
      <c r="B49" s="757" t="s">
        <v>21</v>
      </c>
      <c r="C49" s="758">
        <v>90</v>
      </c>
      <c r="D49" s="757">
        <v>1</v>
      </c>
      <c r="E49" s="757">
        <v>3</v>
      </c>
      <c r="F49" s="757">
        <v>-2</v>
      </c>
    </row>
    <row r="50" spans="1:6" x14ac:dyDescent="0.25">
      <c r="A50" s="757" t="s">
        <v>71</v>
      </c>
      <c r="B50" s="757" t="s">
        <v>21</v>
      </c>
      <c r="C50" s="758">
        <v>41</v>
      </c>
      <c r="D50" s="757">
        <v>2</v>
      </c>
      <c r="E50" s="757">
        <v>5</v>
      </c>
      <c r="F50" s="757">
        <v>-3</v>
      </c>
    </row>
    <row r="51" spans="1:6" x14ac:dyDescent="0.25">
      <c r="A51" s="757" t="s">
        <v>41</v>
      </c>
      <c r="B51" s="757" t="s">
        <v>40</v>
      </c>
      <c r="C51" s="758">
        <v>437</v>
      </c>
      <c r="D51" s="757">
        <v>0</v>
      </c>
      <c r="E51" s="757">
        <v>3</v>
      </c>
      <c r="F51" s="757">
        <v>-3</v>
      </c>
    </row>
    <row r="52" spans="1:6" x14ac:dyDescent="0.25">
      <c r="A52" s="757" t="s">
        <v>59</v>
      </c>
      <c r="B52" s="757" t="s">
        <v>60</v>
      </c>
      <c r="C52" s="758">
        <v>105</v>
      </c>
      <c r="D52" s="757">
        <v>2</v>
      </c>
      <c r="E52" s="757">
        <v>5</v>
      </c>
      <c r="F52" s="757">
        <v>-3</v>
      </c>
    </row>
    <row r="53" spans="1:6" x14ac:dyDescent="0.25">
      <c r="A53" s="757" t="s">
        <v>22</v>
      </c>
      <c r="B53" s="757" t="s">
        <v>167</v>
      </c>
      <c r="C53" s="758" t="s">
        <v>165</v>
      </c>
      <c r="D53" s="757">
        <v>1</v>
      </c>
      <c r="E53" s="757">
        <v>4</v>
      </c>
      <c r="F53" s="757">
        <v>-3</v>
      </c>
    </row>
    <row r="54" spans="1:6" x14ac:dyDescent="0.25">
      <c r="A54" s="757" t="s">
        <v>36</v>
      </c>
      <c r="B54" s="757" t="s">
        <v>21</v>
      </c>
      <c r="C54" s="758">
        <v>73</v>
      </c>
      <c r="D54" s="757">
        <v>0</v>
      </c>
      <c r="E54" s="757">
        <v>4</v>
      </c>
      <c r="F54" s="757">
        <v>-4</v>
      </c>
    </row>
    <row r="55" spans="1:6" x14ac:dyDescent="0.25">
      <c r="A55" s="757" t="s">
        <v>28</v>
      </c>
      <c r="B55" s="757" t="s">
        <v>21</v>
      </c>
      <c r="C55" s="758">
        <v>94</v>
      </c>
      <c r="D55" s="757">
        <v>0</v>
      </c>
      <c r="E55" s="757">
        <v>4</v>
      </c>
      <c r="F55" s="757">
        <v>-4</v>
      </c>
    </row>
    <row r="56" spans="1:6" x14ac:dyDescent="0.25">
      <c r="A56" s="757" t="s">
        <v>31</v>
      </c>
      <c r="B56" s="757" t="s">
        <v>21</v>
      </c>
      <c r="C56" s="758" t="s">
        <v>163</v>
      </c>
      <c r="D56" s="757">
        <v>2</v>
      </c>
      <c r="E56" s="757">
        <v>6</v>
      </c>
      <c r="F56" s="757">
        <v>-4</v>
      </c>
    </row>
    <row r="57" spans="1:6" x14ac:dyDescent="0.25">
      <c r="A57" s="757" t="s">
        <v>72</v>
      </c>
      <c r="B57" s="757" t="s">
        <v>52</v>
      </c>
      <c r="C57" s="758">
        <v>341</v>
      </c>
      <c r="D57" s="757">
        <v>1</v>
      </c>
      <c r="E57" s="757">
        <v>5</v>
      </c>
      <c r="F57" s="757">
        <v>-4</v>
      </c>
    </row>
    <row r="58" spans="1:6" x14ac:dyDescent="0.25">
      <c r="A58" s="757" t="s">
        <v>326</v>
      </c>
      <c r="B58" s="757" t="s">
        <v>52</v>
      </c>
      <c r="C58" s="758" t="s">
        <v>115</v>
      </c>
      <c r="D58" s="757">
        <v>0</v>
      </c>
      <c r="E58" s="757">
        <v>4</v>
      </c>
      <c r="F58" s="757">
        <v>-4</v>
      </c>
    </row>
    <row r="59" spans="1:6" x14ac:dyDescent="0.25">
      <c r="A59" s="757" t="s">
        <v>4</v>
      </c>
      <c r="B59" s="757" t="s">
        <v>5</v>
      </c>
      <c r="C59" s="758">
        <v>335</v>
      </c>
      <c r="D59" s="757">
        <v>1</v>
      </c>
      <c r="E59" s="757">
        <v>6</v>
      </c>
      <c r="F59" s="757">
        <v>-5</v>
      </c>
    </row>
    <row r="60" spans="1:6" x14ac:dyDescent="0.25">
      <c r="A60" s="757" t="s">
        <v>12</v>
      </c>
      <c r="B60" s="757" t="s">
        <v>5</v>
      </c>
      <c r="C60" s="758">
        <v>67</v>
      </c>
      <c r="D60" s="757">
        <v>1</v>
      </c>
      <c r="E60" s="757">
        <v>6</v>
      </c>
      <c r="F60" s="757">
        <v>-5</v>
      </c>
    </row>
    <row r="61" spans="1:6" x14ac:dyDescent="0.25">
      <c r="A61" s="757" t="s">
        <v>322</v>
      </c>
      <c r="B61" s="757" t="s">
        <v>21</v>
      </c>
      <c r="C61" s="758" t="s">
        <v>157</v>
      </c>
      <c r="D61" s="757">
        <v>0</v>
      </c>
      <c r="E61" s="757">
        <v>6</v>
      </c>
      <c r="F61" s="757">
        <v>-6</v>
      </c>
    </row>
    <row r="62" spans="1:6" x14ac:dyDescent="0.25">
      <c r="A62" s="757" t="s">
        <v>34</v>
      </c>
      <c r="B62" s="757" t="s">
        <v>21</v>
      </c>
      <c r="C62" s="758">
        <v>108</v>
      </c>
      <c r="D62" s="757">
        <v>1</v>
      </c>
      <c r="E62" s="757">
        <v>7</v>
      </c>
      <c r="F62" s="757">
        <v>-6</v>
      </c>
    </row>
    <row r="63" spans="1:6" x14ac:dyDescent="0.25">
      <c r="A63" s="757" t="s">
        <v>70</v>
      </c>
      <c r="B63" s="757" t="s">
        <v>21</v>
      </c>
      <c r="C63" s="758" t="s">
        <v>166</v>
      </c>
      <c r="D63" s="757">
        <v>0</v>
      </c>
      <c r="E63" s="757">
        <v>6</v>
      </c>
      <c r="F63" s="757">
        <v>-6</v>
      </c>
    </row>
    <row r="64" spans="1:6" x14ac:dyDescent="0.25">
      <c r="F64" s="112"/>
    </row>
    <row r="65" spans="6:6" x14ac:dyDescent="0.25">
      <c r="F65" s="112"/>
    </row>
    <row r="66" spans="6:6" x14ac:dyDescent="0.25">
      <c r="F66" s="112"/>
    </row>
  </sheetData>
  <sheetProtection password="EC77" sheet="1" objects="1" scenarios="1"/>
  <sortState ref="A5:F62">
    <sortCondition descending="1" ref="F5:F62"/>
  </sortState>
  <mergeCells count="2">
    <mergeCell ref="A2:F3"/>
    <mergeCell ref="A1:F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1663"/>
  <sheetViews>
    <sheetView zoomScaleNormal="100" workbookViewId="0">
      <pane ySplit="5" topLeftCell="A6" activePane="bottomLeft" state="frozen"/>
      <selection pane="bottomLeft" activeCell="A72" sqref="A72:XFD72"/>
    </sheetView>
  </sheetViews>
  <sheetFormatPr defaultColWidth="9.140625" defaultRowHeight="15" x14ac:dyDescent="0.25"/>
  <cols>
    <col min="1" max="1" width="50.7109375" style="112" customWidth="1"/>
    <col min="2" max="2" width="10.85546875" style="153" bestFit="1" customWidth="1"/>
    <col min="3" max="3" width="12.42578125" style="90" customWidth="1"/>
    <col min="4" max="5" width="11.140625" style="235" customWidth="1"/>
    <col min="6" max="6" width="11.140625" style="151" customWidth="1"/>
    <col min="7" max="7" width="14.85546875" style="151" customWidth="1"/>
    <col min="8" max="9" width="11.140625" style="151" customWidth="1"/>
    <col min="10" max="10" width="13.140625" style="152" customWidth="1"/>
    <col min="11" max="11" width="13.5703125" style="152" customWidth="1"/>
    <col min="12" max="12" width="12.85546875" style="152" customWidth="1"/>
    <col min="13" max="13" width="11.140625" style="130" customWidth="1"/>
    <col min="14" max="15" width="11" style="130" customWidth="1"/>
    <col min="16" max="16" width="13.5703125" style="90" customWidth="1"/>
    <col min="17" max="17" width="12.85546875" style="136" customWidth="1"/>
    <col min="18" max="18" width="13.42578125" style="136" customWidth="1"/>
    <col min="19" max="19" width="11" style="136" customWidth="1"/>
    <col min="20" max="20" width="12.7109375" style="137" customWidth="1"/>
    <col min="21" max="21" width="13.85546875" style="138" customWidth="1"/>
    <col min="22" max="22" width="12.28515625" style="153" customWidth="1"/>
    <col min="23" max="23" width="12" style="112" customWidth="1"/>
    <col min="24" max="24" width="13.42578125" style="112" customWidth="1"/>
    <col min="25" max="25" width="14.28515625" style="159" customWidth="1"/>
    <col min="26" max="26" width="15" style="160" customWidth="1"/>
    <col min="27" max="27" width="9.28515625" style="161" customWidth="1"/>
    <col min="28" max="28" width="11" style="161" customWidth="1"/>
    <col min="29" max="29" width="11.28515625" style="161" customWidth="1"/>
    <col min="30" max="30" width="11.85546875" style="161" customWidth="1"/>
    <col min="31" max="31" width="12.28515625" style="469" customWidth="1"/>
    <col min="32" max="32" width="12.7109375" style="471" customWidth="1"/>
    <col min="33" max="33" width="15.28515625" style="90" customWidth="1"/>
    <col min="34" max="34" width="12.5703125" style="90" customWidth="1"/>
    <col min="35" max="35" width="13.85546875" style="90" customWidth="1"/>
    <col min="36" max="16384" width="9.140625" style="90"/>
  </cols>
  <sheetData>
    <row r="1" spans="1:35" ht="18.75" x14ac:dyDescent="0.3">
      <c r="A1" s="314"/>
      <c r="B1" s="315"/>
      <c r="C1" s="316"/>
      <c r="D1" s="836" t="s">
        <v>266</v>
      </c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836"/>
      <c r="AB1" s="836"/>
      <c r="AC1" s="836"/>
      <c r="AD1" s="836"/>
      <c r="AE1" s="836"/>
      <c r="AF1" s="836"/>
      <c r="AG1" s="836"/>
      <c r="AH1" s="836"/>
      <c r="AI1" s="316"/>
    </row>
    <row r="2" spans="1:35" ht="32.25" customHeight="1" x14ac:dyDescent="0.25">
      <c r="A2" s="837" t="s">
        <v>0</v>
      </c>
      <c r="B2" s="838"/>
      <c r="C2" s="839"/>
      <c r="D2" s="858" t="s">
        <v>75</v>
      </c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858"/>
      <c r="Z2" s="858"/>
      <c r="AA2" s="858"/>
      <c r="AB2" s="858"/>
      <c r="AC2" s="858"/>
      <c r="AD2" s="858"/>
      <c r="AE2" s="858"/>
      <c r="AF2" s="858"/>
      <c r="AG2" s="858"/>
      <c r="AH2" s="858"/>
      <c r="AI2" s="858"/>
    </row>
    <row r="3" spans="1:35" x14ac:dyDescent="0.25">
      <c r="A3" s="840"/>
      <c r="B3" s="841"/>
      <c r="C3" s="842"/>
      <c r="D3" s="317">
        <v>1</v>
      </c>
      <c r="E3" s="317">
        <v>2</v>
      </c>
      <c r="F3" s="318">
        <v>3</v>
      </c>
      <c r="G3" s="319">
        <v>4</v>
      </c>
      <c r="H3" s="319">
        <v>5</v>
      </c>
      <c r="I3" s="319">
        <v>6</v>
      </c>
      <c r="J3" s="320">
        <v>7</v>
      </c>
      <c r="K3" s="320">
        <v>8</v>
      </c>
      <c r="L3" s="320">
        <v>9</v>
      </c>
      <c r="M3" s="320">
        <v>10</v>
      </c>
      <c r="N3" s="320">
        <v>11</v>
      </c>
      <c r="O3" s="320">
        <v>12</v>
      </c>
      <c r="P3" s="654">
        <v>13</v>
      </c>
      <c r="Q3" s="655">
        <v>14</v>
      </c>
      <c r="R3" s="655">
        <v>15</v>
      </c>
      <c r="S3" s="655">
        <v>16</v>
      </c>
      <c r="T3" s="655">
        <v>17</v>
      </c>
      <c r="U3" s="655">
        <v>18</v>
      </c>
      <c r="V3" s="655">
        <v>19</v>
      </c>
      <c r="W3" s="656">
        <v>20</v>
      </c>
      <c r="X3" s="656">
        <v>21</v>
      </c>
      <c r="Y3" s="324">
        <v>22</v>
      </c>
      <c r="Z3" s="324">
        <v>23</v>
      </c>
      <c r="AA3" s="325">
        <v>24</v>
      </c>
      <c r="AB3" s="325">
        <v>25</v>
      </c>
      <c r="AC3" s="325">
        <v>26</v>
      </c>
      <c r="AD3" s="326">
        <v>27</v>
      </c>
      <c r="AE3" s="657">
        <v>28</v>
      </c>
      <c r="AF3" s="659">
        <v>29</v>
      </c>
      <c r="AG3" s="658">
        <v>30</v>
      </c>
      <c r="AH3" s="658">
        <v>31</v>
      </c>
      <c r="AI3" s="658">
        <v>32</v>
      </c>
    </row>
    <row r="4" spans="1:35" ht="56.25" customHeight="1" x14ac:dyDescent="0.3">
      <c r="A4" s="843"/>
      <c r="B4" s="844"/>
      <c r="C4" s="845"/>
      <c r="D4" s="848" t="s">
        <v>117</v>
      </c>
      <c r="E4" s="849"/>
      <c r="F4" s="850"/>
      <c r="G4" s="851" t="s">
        <v>118</v>
      </c>
      <c r="H4" s="852"/>
      <c r="I4" s="852"/>
      <c r="J4" s="852"/>
      <c r="K4" s="852"/>
      <c r="L4" s="852"/>
      <c r="M4" s="852"/>
      <c r="N4" s="852"/>
      <c r="O4" s="853"/>
      <c r="P4" s="392" t="s">
        <v>347</v>
      </c>
      <c r="Q4" s="859" t="s">
        <v>119</v>
      </c>
      <c r="R4" s="860"/>
      <c r="S4" s="860"/>
      <c r="T4" s="860"/>
      <c r="U4" s="860"/>
      <c r="V4" s="860"/>
      <c r="W4" s="860"/>
      <c r="X4" s="861"/>
      <c r="Y4" s="856" t="s">
        <v>236</v>
      </c>
      <c r="Z4" s="857"/>
      <c r="AA4" s="846" t="s">
        <v>271</v>
      </c>
      <c r="AB4" s="847"/>
      <c r="AC4" s="847"/>
      <c r="AD4" s="847"/>
      <c r="AE4" s="847"/>
      <c r="AF4" s="854" t="s">
        <v>171</v>
      </c>
      <c r="AG4" s="855"/>
      <c r="AH4" s="855"/>
      <c r="AI4" s="855"/>
    </row>
    <row r="5" spans="1:35" s="112" customFormat="1" ht="103.5" customHeight="1" x14ac:dyDescent="0.25">
      <c r="A5" s="231" t="s">
        <v>142</v>
      </c>
      <c r="B5" s="231" t="s">
        <v>3</v>
      </c>
      <c r="C5" s="231" t="s">
        <v>89</v>
      </c>
      <c r="D5" s="673" t="s">
        <v>146</v>
      </c>
      <c r="E5" s="673" t="s">
        <v>76</v>
      </c>
      <c r="F5" s="668" t="s">
        <v>240</v>
      </c>
      <c r="G5" s="668" t="s">
        <v>148</v>
      </c>
      <c r="H5" s="668" t="s">
        <v>149</v>
      </c>
      <c r="I5" s="668" t="s">
        <v>80</v>
      </c>
      <c r="J5" s="668" t="s">
        <v>215</v>
      </c>
      <c r="K5" s="668" t="s">
        <v>159</v>
      </c>
      <c r="L5" s="668" t="s">
        <v>216</v>
      </c>
      <c r="M5" s="668" t="s">
        <v>217</v>
      </c>
      <c r="N5" s="668" t="s">
        <v>218</v>
      </c>
      <c r="O5" s="668" t="s">
        <v>219</v>
      </c>
      <c r="P5" s="669" t="s">
        <v>305</v>
      </c>
      <c r="Q5" s="669" t="s">
        <v>81</v>
      </c>
      <c r="R5" s="669" t="s">
        <v>82</v>
      </c>
      <c r="S5" s="669" t="s">
        <v>83</v>
      </c>
      <c r="T5" s="669" t="s">
        <v>141</v>
      </c>
      <c r="U5" s="669" t="s">
        <v>140</v>
      </c>
      <c r="V5" s="674" t="s">
        <v>267</v>
      </c>
      <c r="W5" s="675" t="s">
        <v>287</v>
      </c>
      <c r="X5" s="676" t="s">
        <v>288</v>
      </c>
      <c r="Y5" s="669" t="s">
        <v>268</v>
      </c>
      <c r="Z5" s="669" t="s">
        <v>269</v>
      </c>
      <c r="AA5" s="671" t="s">
        <v>91</v>
      </c>
      <c r="AB5" s="671" t="s">
        <v>92</v>
      </c>
      <c r="AC5" s="671" t="s">
        <v>93</v>
      </c>
      <c r="AD5" s="671" t="s">
        <v>160</v>
      </c>
      <c r="AE5" s="677" t="s">
        <v>349</v>
      </c>
      <c r="AF5" s="678" t="s">
        <v>296</v>
      </c>
      <c r="AG5" s="679" t="s">
        <v>297</v>
      </c>
      <c r="AH5" s="677" t="s">
        <v>298</v>
      </c>
      <c r="AI5" s="672" t="s">
        <v>328</v>
      </c>
    </row>
    <row r="6" spans="1:35" x14ac:dyDescent="0.25">
      <c r="A6" s="9" t="s">
        <v>153</v>
      </c>
      <c r="B6" s="15" t="s">
        <v>5</v>
      </c>
      <c r="C6" s="72">
        <v>333</v>
      </c>
      <c r="D6" s="529">
        <v>14</v>
      </c>
      <c r="E6" s="529">
        <v>6.6</v>
      </c>
      <c r="F6" s="530">
        <v>4.4000000000000004</v>
      </c>
      <c r="G6" s="531">
        <v>3.5062496875</v>
      </c>
      <c r="H6" s="532">
        <v>3.4965515862068965</v>
      </c>
      <c r="I6" s="532">
        <v>3.5409090454545451</v>
      </c>
      <c r="J6" s="533">
        <v>148.17021276595744</v>
      </c>
      <c r="K6" s="534">
        <v>148.32</v>
      </c>
      <c r="L6" s="533">
        <v>148.1875</v>
      </c>
      <c r="M6" s="535">
        <v>149.91489361702128</v>
      </c>
      <c r="N6" s="535">
        <v>151.12</v>
      </c>
      <c r="O6" s="535">
        <v>151.5</v>
      </c>
      <c r="P6" s="530">
        <v>2.3225806451612905</v>
      </c>
      <c r="Q6" s="536">
        <v>0.1857</v>
      </c>
      <c r="R6" s="536">
        <v>0.2424</v>
      </c>
      <c r="S6" s="536">
        <v>0.2273</v>
      </c>
      <c r="T6" s="536">
        <v>0.5806</v>
      </c>
      <c r="U6" s="536">
        <v>2.2700000000000001E-2</v>
      </c>
      <c r="V6" s="537">
        <v>9</v>
      </c>
      <c r="W6" s="410">
        <v>0.66666666666666663</v>
      </c>
      <c r="X6" s="410">
        <v>0.33333333333333331</v>
      </c>
      <c r="Y6" s="538">
        <v>23</v>
      </c>
      <c r="Z6" s="539">
        <v>0.63888888888888884</v>
      </c>
      <c r="AA6" s="540">
        <v>13</v>
      </c>
      <c r="AB6" s="540">
        <v>1</v>
      </c>
      <c r="AC6" s="540">
        <v>3</v>
      </c>
      <c r="AD6" s="540">
        <v>17</v>
      </c>
      <c r="AE6" s="541">
        <v>22</v>
      </c>
      <c r="AF6" s="542">
        <v>14</v>
      </c>
      <c r="AG6" s="543">
        <v>0.90322580645161288</v>
      </c>
      <c r="AH6" s="542">
        <v>19</v>
      </c>
      <c r="AI6" s="536">
        <v>0.81578947368421051</v>
      </c>
    </row>
    <row r="7" spans="1:35" s="112" customFormat="1" x14ac:dyDescent="0.25">
      <c r="A7" s="9" t="s">
        <v>154</v>
      </c>
      <c r="B7" s="15" t="s">
        <v>172</v>
      </c>
      <c r="C7" s="72">
        <v>332</v>
      </c>
      <c r="D7" s="529">
        <v>35</v>
      </c>
      <c r="E7" s="529">
        <v>14.4</v>
      </c>
      <c r="F7" s="530">
        <v>9.8000000000000007</v>
      </c>
      <c r="G7" s="531">
        <v>3.4249997999999997</v>
      </c>
      <c r="H7" s="532">
        <v>3.4411763529411767</v>
      </c>
      <c r="I7" s="532">
        <v>3.378571285714286</v>
      </c>
      <c r="J7" s="533">
        <v>159.03546099290782</v>
      </c>
      <c r="K7" s="544">
        <v>157.52238805970148</v>
      </c>
      <c r="L7" s="533">
        <v>156.37777777777777</v>
      </c>
      <c r="M7" s="535">
        <v>149.26950354609929</v>
      </c>
      <c r="N7" s="535">
        <v>149.76119402985074</v>
      </c>
      <c r="O7" s="535">
        <v>149.75555555555556</v>
      </c>
      <c r="P7" s="530">
        <v>2.2692307692307692</v>
      </c>
      <c r="Q7" s="536">
        <v>2.29E-2</v>
      </c>
      <c r="R7" s="536">
        <v>5.5599999999999997E-2</v>
      </c>
      <c r="S7" s="536">
        <v>6.1199999999999997E-2</v>
      </c>
      <c r="T7" s="536">
        <v>0.37540000000000001</v>
      </c>
      <c r="U7" s="536">
        <v>0.64610000000000001</v>
      </c>
      <c r="V7" s="537">
        <v>3</v>
      </c>
      <c r="W7" s="410">
        <v>1</v>
      </c>
      <c r="X7" s="410">
        <v>0</v>
      </c>
      <c r="Y7" s="538">
        <v>44</v>
      </c>
      <c r="Z7" s="539">
        <v>0.74576271186440679</v>
      </c>
      <c r="AA7" s="540">
        <v>2</v>
      </c>
      <c r="AB7" s="540">
        <v>2</v>
      </c>
      <c r="AC7" s="540">
        <v>3</v>
      </c>
      <c r="AD7" s="540">
        <v>7</v>
      </c>
      <c r="AE7" s="541">
        <v>41</v>
      </c>
      <c r="AF7" s="542">
        <v>22</v>
      </c>
      <c r="AG7" s="543">
        <v>0.84615384615384615</v>
      </c>
      <c r="AH7" s="542">
        <v>34.75</v>
      </c>
      <c r="AI7" s="536">
        <v>0.74820143884892087</v>
      </c>
    </row>
    <row r="8" spans="1:35" x14ac:dyDescent="0.25">
      <c r="A8" s="9" t="s">
        <v>15</v>
      </c>
      <c r="B8" s="15" t="s">
        <v>5</v>
      </c>
      <c r="C8" s="72">
        <v>334</v>
      </c>
      <c r="D8" s="529">
        <v>12.6</v>
      </c>
      <c r="E8" s="529">
        <v>5</v>
      </c>
      <c r="F8" s="530">
        <v>3.4</v>
      </c>
      <c r="G8" s="531">
        <v>3.6214284285714284</v>
      </c>
      <c r="H8" s="532">
        <v>3.62</v>
      </c>
      <c r="I8" s="532">
        <v>3.7</v>
      </c>
      <c r="J8" s="545">
        <v>156.09615384615384</v>
      </c>
      <c r="K8" s="546">
        <v>156.875</v>
      </c>
      <c r="L8" s="545">
        <v>155.47058823529412</v>
      </c>
      <c r="M8" s="535">
        <v>150.40384615384616</v>
      </c>
      <c r="N8" s="535">
        <v>152.29166666666666</v>
      </c>
      <c r="O8" s="535">
        <v>153.8235294117647</v>
      </c>
      <c r="P8" s="530">
        <v>1.7692307692307692</v>
      </c>
      <c r="Q8" s="536">
        <v>1.5900000000000001E-2</v>
      </c>
      <c r="R8" s="536">
        <v>0</v>
      </c>
      <c r="S8" s="536">
        <v>0</v>
      </c>
      <c r="T8" s="536">
        <v>0.35580000000000001</v>
      </c>
      <c r="U8" s="536">
        <v>0.64419999999999999</v>
      </c>
      <c r="V8" s="537">
        <v>1</v>
      </c>
      <c r="W8" s="410">
        <v>0</v>
      </c>
      <c r="X8" s="410">
        <v>0</v>
      </c>
      <c r="Y8" s="538">
        <v>20</v>
      </c>
      <c r="Z8" s="539">
        <v>0.86956521739130432</v>
      </c>
      <c r="AA8" s="540">
        <v>4</v>
      </c>
      <c r="AB8" s="540">
        <v>6</v>
      </c>
      <c r="AC8" s="540">
        <v>9</v>
      </c>
      <c r="AD8" s="540">
        <v>19</v>
      </c>
      <c r="AE8" s="541">
        <v>19</v>
      </c>
      <c r="AF8" s="542">
        <v>11</v>
      </c>
      <c r="AG8" s="543">
        <v>0.84615384615384615</v>
      </c>
      <c r="AH8" s="542">
        <v>15</v>
      </c>
      <c r="AI8" s="536">
        <v>0.8666666666666667</v>
      </c>
    </row>
    <row r="9" spans="1:35" x14ac:dyDescent="0.25">
      <c r="A9" s="9" t="s">
        <v>4</v>
      </c>
      <c r="B9" s="15" t="s">
        <v>5</v>
      </c>
      <c r="C9" s="72">
        <v>335</v>
      </c>
      <c r="D9" s="529">
        <v>14</v>
      </c>
      <c r="E9" s="529">
        <v>3.4</v>
      </c>
      <c r="F9" s="530">
        <v>2.4</v>
      </c>
      <c r="G9" s="547">
        <v>3.375</v>
      </c>
      <c r="H9" s="532">
        <v>3.5333333333333332</v>
      </c>
      <c r="I9" s="532">
        <v>3.5</v>
      </c>
      <c r="J9" s="545">
        <v>156.85483870967741</v>
      </c>
      <c r="K9" s="546">
        <v>153.29411764705881</v>
      </c>
      <c r="L9" s="545">
        <v>153.76923076923077</v>
      </c>
      <c r="M9" s="535">
        <v>150.53225806451613</v>
      </c>
      <c r="N9" s="535">
        <v>150.47058823529412</v>
      </c>
      <c r="O9" s="535">
        <v>151.61538461538461</v>
      </c>
      <c r="P9" s="530">
        <v>0.85836909871244638</v>
      </c>
      <c r="Q9" s="536">
        <v>8.5699999999999998E-2</v>
      </c>
      <c r="R9" s="536">
        <v>5.8799999999999998E-2</v>
      </c>
      <c r="S9" s="536">
        <v>0</v>
      </c>
      <c r="T9" s="536">
        <v>0.55000000000000004</v>
      </c>
      <c r="U9" s="536">
        <v>0.625</v>
      </c>
      <c r="V9" s="537">
        <v>0</v>
      </c>
      <c r="W9" s="410">
        <v>0</v>
      </c>
      <c r="X9" s="410">
        <v>1</v>
      </c>
      <c r="Y9" s="538">
        <v>16</v>
      </c>
      <c r="Z9" s="539">
        <v>0.8</v>
      </c>
      <c r="AA9" s="540">
        <v>4</v>
      </c>
      <c r="AB9" s="540">
        <v>5</v>
      </c>
      <c r="AC9" s="540">
        <v>4</v>
      </c>
      <c r="AD9" s="540">
        <v>13</v>
      </c>
      <c r="AE9" s="541">
        <v>15</v>
      </c>
      <c r="AF9" s="542">
        <v>23</v>
      </c>
      <c r="AG9" s="543">
        <v>0.98712446351931327</v>
      </c>
      <c r="AH9" s="542">
        <v>24.33</v>
      </c>
      <c r="AI9" s="536">
        <v>0.95766543362104406</v>
      </c>
    </row>
    <row r="10" spans="1:35" x14ac:dyDescent="0.25">
      <c r="A10" s="9" t="s">
        <v>16</v>
      </c>
      <c r="B10" s="15" t="s">
        <v>5</v>
      </c>
      <c r="C10" s="72">
        <v>62</v>
      </c>
      <c r="D10" s="529">
        <v>22.6</v>
      </c>
      <c r="E10" s="529">
        <v>11.6</v>
      </c>
      <c r="F10" s="530">
        <v>10.199999999999999</v>
      </c>
      <c r="G10" s="547">
        <v>3.3249998461538461</v>
      </c>
      <c r="H10" s="532">
        <v>3.38437478125</v>
      </c>
      <c r="I10" s="532">
        <v>3.3464283928571428</v>
      </c>
      <c r="J10" s="545">
        <v>151.95833333333334</v>
      </c>
      <c r="K10" s="546">
        <v>153.21428571428572</v>
      </c>
      <c r="L10" s="545">
        <v>152.96153846153845</v>
      </c>
      <c r="M10" s="535">
        <v>150.86458333333334</v>
      </c>
      <c r="N10" s="535">
        <v>152.28571428571428</v>
      </c>
      <c r="O10" s="535">
        <v>152.03846153846155</v>
      </c>
      <c r="P10" s="530">
        <v>2.3548387096774195</v>
      </c>
      <c r="Q10" s="536">
        <v>6.1899999999999997E-2</v>
      </c>
      <c r="R10" s="536">
        <v>6.9000000000000006E-2</v>
      </c>
      <c r="S10" s="536">
        <v>5.8799999999999998E-2</v>
      </c>
      <c r="T10" s="536">
        <v>0.46300000000000002</v>
      </c>
      <c r="U10" s="548">
        <v>0.37040000000000001</v>
      </c>
      <c r="V10" s="537">
        <v>5</v>
      </c>
      <c r="W10" s="410">
        <v>1</v>
      </c>
      <c r="X10" s="410">
        <v>0</v>
      </c>
      <c r="Y10" s="538">
        <v>52</v>
      </c>
      <c r="Z10" s="539">
        <v>0.71232876712328763</v>
      </c>
      <c r="AA10" s="540">
        <v>13</v>
      </c>
      <c r="AB10" s="540">
        <v>24</v>
      </c>
      <c r="AC10" s="540">
        <v>21</v>
      </c>
      <c r="AD10" s="540">
        <v>58</v>
      </c>
      <c r="AE10" s="541">
        <v>63</v>
      </c>
      <c r="AF10" s="542">
        <v>23</v>
      </c>
      <c r="AG10" s="543">
        <v>0.74193548387096775</v>
      </c>
      <c r="AH10" s="542">
        <v>34</v>
      </c>
      <c r="AI10" s="536">
        <v>0.91176470588235292</v>
      </c>
    </row>
    <row r="11" spans="1:35" s="207" customFormat="1" ht="27.75" customHeight="1" x14ac:dyDescent="0.25">
      <c r="A11" s="327" t="s">
        <v>319</v>
      </c>
      <c r="B11" s="71" t="s">
        <v>5</v>
      </c>
      <c r="C11" s="123" t="s">
        <v>103</v>
      </c>
      <c r="D11" s="549">
        <v>27.4</v>
      </c>
      <c r="E11" s="549">
        <v>8.6</v>
      </c>
      <c r="F11" s="550">
        <v>7.8</v>
      </c>
      <c r="G11" s="551">
        <v>3.489473666666667</v>
      </c>
      <c r="H11" s="552">
        <v>3.5159999200000001</v>
      </c>
      <c r="I11" s="552">
        <v>3.4952380952380957</v>
      </c>
      <c r="J11" s="553">
        <v>154.30645161290323</v>
      </c>
      <c r="K11" s="554">
        <v>153.17500000000001</v>
      </c>
      <c r="L11" s="553">
        <v>152.56</v>
      </c>
      <c r="M11" s="555">
        <v>151.75675675675674</v>
      </c>
      <c r="N11" s="555">
        <v>152.47499999999999</v>
      </c>
      <c r="O11" s="555">
        <v>151.47826086956522</v>
      </c>
      <c r="P11" s="550">
        <v>1.4878048780487805</v>
      </c>
      <c r="Q11" s="358">
        <v>5.11E-2</v>
      </c>
      <c r="R11" s="358">
        <v>9.2999999999999999E-2</v>
      </c>
      <c r="S11" s="358">
        <v>7.6899999999999996E-2</v>
      </c>
      <c r="T11" s="358">
        <v>0.3584</v>
      </c>
      <c r="U11" s="358">
        <v>0.27989999999999998</v>
      </c>
      <c r="V11" s="556">
        <v>3</v>
      </c>
      <c r="W11" s="485">
        <v>0.6</v>
      </c>
      <c r="X11" s="485">
        <v>0.4</v>
      </c>
      <c r="Y11" s="557">
        <v>41</v>
      </c>
      <c r="Z11" s="558">
        <v>0.67213114754098358</v>
      </c>
      <c r="AA11" s="387">
        <v>5</v>
      </c>
      <c r="AB11" s="387">
        <v>20</v>
      </c>
      <c r="AC11" s="387">
        <v>21</v>
      </c>
      <c r="AD11" s="387">
        <v>46</v>
      </c>
      <c r="AE11" s="120">
        <v>55</v>
      </c>
      <c r="AF11" s="480">
        <v>37.5</v>
      </c>
      <c r="AG11" s="479">
        <v>0.91463414634146345</v>
      </c>
      <c r="AH11" s="480">
        <v>44</v>
      </c>
      <c r="AI11" s="358">
        <v>0.93181818181818177</v>
      </c>
    </row>
    <row r="12" spans="1:35" s="112" customFormat="1" x14ac:dyDescent="0.25">
      <c r="A12" s="9" t="s">
        <v>12</v>
      </c>
      <c r="B12" s="15" t="s">
        <v>5</v>
      </c>
      <c r="C12" s="72">
        <v>67</v>
      </c>
      <c r="D12" s="529">
        <v>29.6</v>
      </c>
      <c r="E12" s="529">
        <v>15.2</v>
      </c>
      <c r="F12" s="530">
        <v>6</v>
      </c>
      <c r="G12" s="559">
        <v>3.4952378571428575</v>
      </c>
      <c r="H12" s="532">
        <v>3.4687496874999999</v>
      </c>
      <c r="I12" s="532">
        <v>3.25</v>
      </c>
      <c r="J12" s="545">
        <v>157.13492063492063</v>
      </c>
      <c r="K12" s="546">
        <v>157.35616438356163</v>
      </c>
      <c r="L12" s="545">
        <v>156.93333333333334</v>
      </c>
      <c r="M12" s="535">
        <v>150.76984126984127</v>
      </c>
      <c r="N12" s="535">
        <v>152.39726027397259</v>
      </c>
      <c r="O12" s="535">
        <v>149.93333333333334</v>
      </c>
      <c r="P12" s="530">
        <v>1.5121951219512195</v>
      </c>
      <c r="Q12" s="536">
        <v>5.4100000000000002E-2</v>
      </c>
      <c r="R12" s="536">
        <v>9.2100000000000001E-2</v>
      </c>
      <c r="S12" s="536">
        <v>0.16669999999999999</v>
      </c>
      <c r="T12" s="536">
        <v>0.48299999999999998</v>
      </c>
      <c r="U12" s="536">
        <v>0.53979999999999995</v>
      </c>
      <c r="V12" s="537">
        <v>4</v>
      </c>
      <c r="W12" s="410">
        <v>0</v>
      </c>
      <c r="X12" s="410">
        <v>1</v>
      </c>
      <c r="Y12" s="538">
        <v>23</v>
      </c>
      <c r="Z12" s="539">
        <v>0.74193548387096775</v>
      </c>
      <c r="AA12" s="540">
        <v>11</v>
      </c>
      <c r="AB12" s="540">
        <v>14</v>
      </c>
      <c r="AC12" s="540">
        <v>5</v>
      </c>
      <c r="AD12" s="540">
        <v>30</v>
      </c>
      <c r="AE12" s="541">
        <v>30</v>
      </c>
      <c r="AF12" s="542">
        <v>19.5</v>
      </c>
      <c r="AG12" s="543">
        <v>0.95121951219512191</v>
      </c>
      <c r="AH12" s="542">
        <v>24</v>
      </c>
      <c r="AI12" s="536">
        <v>0.85416666666666663</v>
      </c>
    </row>
    <row r="13" spans="1:35" s="112" customFormat="1" x14ac:dyDescent="0.25">
      <c r="A13" s="9" t="s">
        <v>14</v>
      </c>
      <c r="B13" s="15" t="s">
        <v>5</v>
      </c>
      <c r="C13" s="72">
        <v>68</v>
      </c>
      <c r="D13" s="529">
        <v>82.4</v>
      </c>
      <c r="E13" s="529">
        <v>12.2</v>
      </c>
      <c r="F13" s="530">
        <v>9.1999999999999993</v>
      </c>
      <c r="G13" s="559">
        <v>3.4964285714285714</v>
      </c>
      <c r="H13" s="532">
        <v>3.6523809523809527</v>
      </c>
      <c r="I13" s="532">
        <v>3.6611111111111114</v>
      </c>
      <c r="J13" s="545">
        <v>159.05026455026456</v>
      </c>
      <c r="K13" s="546">
        <v>157.25423728813558</v>
      </c>
      <c r="L13" s="545">
        <v>155.74509803921569</v>
      </c>
      <c r="M13" s="535">
        <v>150.63227513227514</v>
      </c>
      <c r="N13" s="535">
        <v>150.5084745762712</v>
      </c>
      <c r="O13" s="535">
        <v>150.37254901960785</v>
      </c>
      <c r="P13" s="530">
        <v>0.93023255813953487</v>
      </c>
      <c r="Q13" s="536">
        <v>3.6400000000000002E-2</v>
      </c>
      <c r="R13" s="536">
        <v>3.2800000000000003E-2</v>
      </c>
      <c r="S13" s="536">
        <v>2.1700000000000001E-2</v>
      </c>
      <c r="T13" s="536">
        <v>0.625</v>
      </c>
      <c r="U13" s="536">
        <v>0.72060000000000002</v>
      </c>
      <c r="V13" s="537">
        <v>2</v>
      </c>
      <c r="W13" s="410">
        <v>0</v>
      </c>
      <c r="X13" s="410">
        <v>1</v>
      </c>
      <c r="Y13" s="538">
        <v>16</v>
      </c>
      <c r="Z13" s="539">
        <v>0.8</v>
      </c>
      <c r="AA13" s="540">
        <v>5</v>
      </c>
      <c r="AB13" s="540">
        <v>9</v>
      </c>
      <c r="AC13" s="540">
        <v>1</v>
      </c>
      <c r="AD13" s="540">
        <v>15</v>
      </c>
      <c r="AE13" s="541">
        <v>23</v>
      </c>
      <c r="AF13" s="542">
        <v>19.5</v>
      </c>
      <c r="AG13" s="543">
        <v>0.90697674418604646</v>
      </c>
      <c r="AH13" s="542">
        <v>26.3</v>
      </c>
      <c r="AI13" s="536">
        <v>0.81749049429657794</v>
      </c>
    </row>
    <row r="14" spans="1:35" s="112" customFormat="1" x14ac:dyDescent="0.25">
      <c r="A14" s="9" t="s">
        <v>10</v>
      </c>
      <c r="B14" s="15" t="s">
        <v>5</v>
      </c>
      <c r="C14" s="72" t="s">
        <v>162</v>
      </c>
      <c r="D14" s="529">
        <v>33</v>
      </c>
      <c r="E14" s="529">
        <v>12</v>
      </c>
      <c r="F14" s="530">
        <v>9.8000000000000007</v>
      </c>
      <c r="G14" s="559">
        <v>3.4586206206896546</v>
      </c>
      <c r="H14" s="532">
        <v>3.5647058235294118</v>
      </c>
      <c r="I14" s="532">
        <v>3.5933333333333333</v>
      </c>
      <c r="J14" s="545">
        <v>156.95862068965516</v>
      </c>
      <c r="K14" s="546">
        <v>155.51724137931035</v>
      </c>
      <c r="L14" s="545">
        <v>154.32653061224491</v>
      </c>
      <c r="M14" s="535">
        <v>150.71724137931034</v>
      </c>
      <c r="N14" s="535">
        <v>151.63793103448276</v>
      </c>
      <c r="O14" s="535">
        <v>151.28571428571428</v>
      </c>
      <c r="P14" s="530">
        <v>1.3958810068649885</v>
      </c>
      <c r="Q14" s="536">
        <v>4.8500000000000001E-2</v>
      </c>
      <c r="R14" s="536">
        <v>0.05</v>
      </c>
      <c r="S14" s="536">
        <v>4.0800000000000003E-2</v>
      </c>
      <c r="T14" s="536">
        <v>0.37930000000000003</v>
      </c>
      <c r="U14" s="536">
        <v>0.62450000000000006</v>
      </c>
      <c r="V14" s="537">
        <v>4</v>
      </c>
      <c r="W14" s="410">
        <v>1</v>
      </c>
      <c r="X14" s="410">
        <v>0</v>
      </c>
      <c r="Y14" s="538">
        <v>52</v>
      </c>
      <c r="Z14" s="539">
        <v>0.85245901639344257</v>
      </c>
      <c r="AA14" s="540">
        <v>10</v>
      </c>
      <c r="AB14" s="540">
        <v>11</v>
      </c>
      <c r="AC14" s="540">
        <v>7</v>
      </c>
      <c r="AD14" s="540">
        <v>28</v>
      </c>
      <c r="AE14" s="541">
        <v>39</v>
      </c>
      <c r="AF14" s="542">
        <v>42.2</v>
      </c>
      <c r="AG14" s="543">
        <v>0.96567505720823799</v>
      </c>
      <c r="AH14" s="542">
        <v>46.7</v>
      </c>
      <c r="AI14" s="536">
        <v>0.93576017130620981</v>
      </c>
    </row>
    <row r="15" spans="1:35" s="112" customFormat="1" x14ac:dyDescent="0.25">
      <c r="A15" s="9" t="s">
        <v>9</v>
      </c>
      <c r="B15" s="15" t="s">
        <v>5</v>
      </c>
      <c r="C15" s="72">
        <v>99</v>
      </c>
      <c r="D15" s="529">
        <v>55</v>
      </c>
      <c r="E15" s="529">
        <v>12.6</v>
      </c>
      <c r="F15" s="530">
        <v>9</v>
      </c>
      <c r="G15" s="559">
        <v>3.3291662708333334</v>
      </c>
      <c r="H15" s="532">
        <v>3.5138884444444445</v>
      </c>
      <c r="I15" s="532">
        <v>3.4439996800000001</v>
      </c>
      <c r="J15" s="545">
        <v>157.14285714285714</v>
      </c>
      <c r="K15" s="546">
        <v>154.9047619047619</v>
      </c>
      <c r="L15" s="545">
        <v>153.06382978723406</v>
      </c>
      <c r="M15" s="535">
        <v>153.50840336134453</v>
      </c>
      <c r="N15" s="535">
        <v>154.12698412698413</v>
      </c>
      <c r="O15" s="535">
        <v>153.42553191489361</v>
      </c>
      <c r="P15" s="530">
        <v>2.0512820512820515</v>
      </c>
      <c r="Q15" s="536">
        <v>0.08</v>
      </c>
      <c r="R15" s="536">
        <v>0.1111</v>
      </c>
      <c r="S15" s="536">
        <v>0.1333</v>
      </c>
      <c r="T15" s="536">
        <v>0.52110000000000001</v>
      </c>
      <c r="U15" s="536">
        <v>0.4</v>
      </c>
      <c r="V15" s="537">
        <v>6</v>
      </c>
      <c r="W15" s="410">
        <v>0.5</v>
      </c>
      <c r="X15" s="410">
        <v>0.5</v>
      </c>
      <c r="Y15" s="538">
        <v>42</v>
      </c>
      <c r="Z15" s="539">
        <v>0.95454545454545459</v>
      </c>
      <c r="AA15" s="540">
        <v>2</v>
      </c>
      <c r="AB15" s="540">
        <v>7</v>
      </c>
      <c r="AC15" s="540">
        <v>16</v>
      </c>
      <c r="AD15" s="540">
        <v>25</v>
      </c>
      <c r="AE15" s="541">
        <v>26</v>
      </c>
      <c r="AF15" s="542">
        <v>20.45</v>
      </c>
      <c r="AG15" s="543">
        <v>0.9533799533799534</v>
      </c>
      <c r="AH15" s="542">
        <v>29.15</v>
      </c>
      <c r="AI15" s="536">
        <v>0.73584905660377364</v>
      </c>
    </row>
    <row r="16" spans="1:35" s="112" customFormat="1" x14ac:dyDescent="0.25">
      <c r="A16" s="9" t="s">
        <v>11</v>
      </c>
      <c r="B16" s="15" t="s">
        <v>5</v>
      </c>
      <c r="C16" s="72">
        <v>113</v>
      </c>
      <c r="D16" s="529">
        <v>26.8</v>
      </c>
      <c r="E16" s="529">
        <v>5.6</v>
      </c>
      <c r="F16" s="530">
        <v>5.2</v>
      </c>
      <c r="G16" s="560">
        <v>3.4333332222222221</v>
      </c>
      <c r="H16" s="532">
        <v>3.5142855714285717</v>
      </c>
      <c r="I16" s="532">
        <v>3.4833333333333329</v>
      </c>
      <c r="J16" s="545">
        <v>156.29357798165137</v>
      </c>
      <c r="K16" s="546">
        <v>154.65384615384616</v>
      </c>
      <c r="L16" s="545">
        <v>154.61538461538461</v>
      </c>
      <c r="M16" s="535">
        <v>148.6880733944954</v>
      </c>
      <c r="N16" s="535">
        <v>149.61538461538461</v>
      </c>
      <c r="O16" s="535">
        <v>149.61538461538461</v>
      </c>
      <c r="P16" s="530">
        <v>1.8125</v>
      </c>
      <c r="Q16" s="536">
        <v>2.9899999999999999E-2</v>
      </c>
      <c r="R16" s="536">
        <v>3.5700000000000003E-2</v>
      </c>
      <c r="S16" s="536">
        <v>3.85E-2</v>
      </c>
      <c r="T16" s="536">
        <v>0.39710000000000001</v>
      </c>
      <c r="U16" s="536">
        <v>0.59560000000000002</v>
      </c>
      <c r="V16" s="537">
        <v>3</v>
      </c>
      <c r="W16" s="410">
        <v>0</v>
      </c>
      <c r="X16" s="410">
        <v>0</v>
      </c>
      <c r="Y16" s="538">
        <v>20</v>
      </c>
      <c r="Z16" s="539">
        <v>0.68965517241379315</v>
      </c>
      <c r="AA16" s="540">
        <v>2</v>
      </c>
      <c r="AB16" s="540">
        <v>5</v>
      </c>
      <c r="AC16" s="540">
        <v>12</v>
      </c>
      <c r="AD16" s="540">
        <v>19</v>
      </c>
      <c r="AE16" s="541">
        <v>20</v>
      </c>
      <c r="AF16" s="542">
        <v>15</v>
      </c>
      <c r="AG16" s="543">
        <v>0.9375</v>
      </c>
      <c r="AH16" s="542">
        <v>18</v>
      </c>
      <c r="AI16" s="536">
        <v>0.88888888888888884</v>
      </c>
    </row>
    <row r="17" spans="1:35" s="112" customFormat="1" x14ac:dyDescent="0.25">
      <c r="A17" s="9" t="s">
        <v>8</v>
      </c>
      <c r="B17" s="15" t="s">
        <v>5</v>
      </c>
      <c r="C17" s="72">
        <v>129</v>
      </c>
      <c r="D17" s="529">
        <v>35</v>
      </c>
      <c r="E17" s="529">
        <v>13.2</v>
      </c>
      <c r="F17" s="530">
        <v>10.8</v>
      </c>
      <c r="G17" s="560">
        <v>3.333333066666667</v>
      </c>
      <c r="H17" s="532">
        <v>3.3294117647058825</v>
      </c>
      <c r="I17" s="532">
        <v>3.3800000000000003</v>
      </c>
      <c r="J17" s="545">
        <v>156.41358024691357</v>
      </c>
      <c r="K17" s="546">
        <v>155.29032258064515</v>
      </c>
      <c r="L17" s="545">
        <v>154.90384615384616</v>
      </c>
      <c r="M17" s="535">
        <v>150.30864197530863</v>
      </c>
      <c r="N17" s="535">
        <v>151.53225806451613</v>
      </c>
      <c r="O17" s="535">
        <v>152.34615384615384</v>
      </c>
      <c r="P17" s="530">
        <v>2.810810810810811</v>
      </c>
      <c r="Q17" s="536">
        <v>0.04</v>
      </c>
      <c r="R17" s="536">
        <v>3.0300000000000001E-2</v>
      </c>
      <c r="S17" s="536">
        <v>3.6999999999999998E-2</v>
      </c>
      <c r="T17" s="536">
        <v>0.50549999999999995</v>
      </c>
      <c r="U17" s="536">
        <v>0.6421</v>
      </c>
      <c r="V17" s="537">
        <v>3</v>
      </c>
      <c r="W17" s="410">
        <v>0</v>
      </c>
      <c r="X17" s="410">
        <v>0</v>
      </c>
      <c r="Y17" s="538">
        <v>41</v>
      </c>
      <c r="Z17" s="539">
        <v>0.78846153846153844</v>
      </c>
      <c r="AA17" s="540">
        <v>4</v>
      </c>
      <c r="AB17" s="540">
        <v>4</v>
      </c>
      <c r="AC17" s="540">
        <v>24</v>
      </c>
      <c r="AD17" s="540">
        <v>32</v>
      </c>
      <c r="AE17" s="541">
        <v>45</v>
      </c>
      <c r="AF17" s="542">
        <v>15</v>
      </c>
      <c r="AG17" s="543">
        <v>0.81081081081081086</v>
      </c>
      <c r="AH17" s="542">
        <v>22.5</v>
      </c>
      <c r="AI17" s="536">
        <v>0.82222222222222219</v>
      </c>
    </row>
    <row r="18" spans="1:35" s="112" customFormat="1" x14ac:dyDescent="0.25">
      <c r="A18" s="9" t="s">
        <v>13</v>
      </c>
      <c r="B18" s="15" t="s">
        <v>5</v>
      </c>
      <c r="C18" s="72">
        <v>138</v>
      </c>
      <c r="D18" s="529">
        <v>20.6</v>
      </c>
      <c r="E18" s="529">
        <v>5</v>
      </c>
      <c r="F18" s="530">
        <v>4.4000000000000004</v>
      </c>
      <c r="G18" s="560">
        <v>3.5310341206896552</v>
      </c>
      <c r="H18" s="532">
        <v>3.5923076923076924</v>
      </c>
      <c r="I18" s="532">
        <v>3.5363634545454543</v>
      </c>
      <c r="J18" s="545">
        <v>152.54651162790697</v>
      </c>
      <c r="K18" s="546">
        <v>151.20833333333334</v>
      </c>
      <c r="L18" s="545">
        <v>150.2608695652174</v>
      </c>
      <c r="M18" s="535">
        <v>155.09302325581396</v>
      </c>
      <c r="N18" s="535">
        <v>154</v>
      </c>
      <c r="O18" s="535">
        <v>154.04347826086956</v>
      </c>
      <c r="P18" s="530">
        <v>1.5897435897435896</v>
      </c>
      <c r="Q18" s="536">
        <v>0.12620000000000001</v>
      </c>
      <c r="R18" s="536">
        <v>0.2</v>
      </c>
      <c r="S18" s="536">
        <v>0.18179999999999999</v>
      </c>
      <c r="T18" s="536">
        <v>0.49299999999999999</v>
      </c>
      <c r="U18" s="536">
        <v>0.38030000000000003</v>
      </c>
      <c r="V18" s="537">
        <v>5</v>
      </c>
      <c r="W18" s="410">
        <v>0</v>
      </c>
      <c r="X18" s="410">
        <v>0</v>
      </c>
      <c r="Y18" s="538">
        <v>25</v>
      </c>
      <c r="Z18" s="539">
        <v>0.80645161290322576</v>
      </c>
      <c r="AA18" s="540">
        <v>8</v>
      </c>
      <c r="AB18" s="540">
        <v>8</v>
      </c>
      <c r="AC18" s="540">
        <v>3</v>
      </c>
      <c r="AD18" s="540">
        <v>19</v>
      </c>
      <c r="AE18" s="541">
        <v>21</v>
      </c>
      <c r="AF18" s="542">
        <v>17</v>
      </c>
      <c r="AG18" s="543">
        <v>0.87179487179487181</v>
      </c>
      <c r="AH18" s="542">
        <v>20.5</v>
      </c>
      <c r="AI18" s="536">
        <v>0.95121951219512191</v>
      </c>
    </row>
    <row r="19" spans="1:35" s="112" customFormat="1" x14ac:dyDescent="0.25">
      <c r="A19" s="9" t="s">
        <v>17</v>
      </c>
      <c r="B19" s="15" t="s">
        <v>18</v>
      </c>
      <c r="C19" s="72">
        <v>348</v>
      </c>
      <c r="D19" s="529">
        <v>355.2</v>
      </c>
      <c r="E19" s="529">
        <v>12.4</v>
      </c>
      <c r="F19" s="530">
        <v>10.6</v>
      </c>
      <c r="G19" s="560">
        <v>3.5515552377777784</v>
      </c>
      <c r="H19" s="532">
        <v>3.6535713571428574</v>
      </c>
      <c r="I19" s="532">
        <v>3.6500000000000004</v>
      </c>
      <c r="J19" s="561">
        <v>161.42941176470589</v>
      </c>
      <c r="K19" s="562">
        <v>164.96</v>
      </c>
      <c r="L19" s="561">
        <v>164.5</v>
      </c>
      <c r="M19" s="563">
        <v>156.6</v>
      </c>
      <c r="N19" s="563">
        <v>162.19999999999999</v>
      </c>
      <c r="O19" s="563">
        <v>162.09090909090909</v>
      </c>
      <c r="P19" s="530">
        <v>0.95161290322580649</v>
      </c>
      <c r="Q19" s="536">
        <v>4.3400000000000001E-2</v>
      </c>
      <c r="R19" s="536">
        <v>3.2300000000000002E-2</v>
      </c>
      <c r="S19" s="536">
        <v>3.7699999999999997E-2</v>
      </c>
      <c r="T19" s="536">
        <v>0.36149999999999999</v>
      </c>
      <c r="U19" s="536">
        <v>0.51690000000000003</v>
      </c>
      <c r="V19" s="537">
        <v>3</v>
      </c>
      <c r="W19" s="410">
        <v>0.5</v>
      </c>
      <c r="X19" s="410">
        <v>0.5</v>
      </c>
      <c r="Y19" s="538">
        <v>56</v>
      </c>
      <c r="Z19" s="539">
        <v>0.94915254237288138</v>
      </c>
      <c r="AA19" s="540">
        <v>53</v>
      </c>
      <c r="AB19" s="540">
        <v>2</v>
      </c>
      <c r="AC19" s="540">
        <v>0</v>
      </c>
      <c r="AD19" s="540">
        <v>55</v>
      </c>
      <c r="AE19" s="541">
        <v>56</v>
      </c>
      <c r="AF19" s="542">
        <v>58</v>
      </c>
      <c r="AG19" s="543">
        <v>0.93548387096774188</v>
      </c>
      <c r="AH19" s="542">
        <v>119.18</v>
      </c>
      <c r="AI19" s="536">
        <v>0.52022151367679137</v>
      </c>
    </row>
    <row r="20" spans="1:35" s="112" customFormat="1" x14ac:dyDescent="0.25">
      <c r="A20" s="9" t="s">
        <v>29</v>
      </c>
      <c r="B20" s="15" t="s">
        <v>21</v>
      </c>
      <c r="C20" s="72">
        <v>336</v>
      </c>
      <c r="D20" s="529">
        <v>99.4</v>
      </c>
      <c r="E20" s="529">
        <v>26.4</v>
      </c>
      <c r="F20" s="530">
        <v>14.4</v>
      </c>
      <c r="G20" s="560">
        <v>3.5584805189873419</v>
      </c>
      <c r="H20" s="532">
        <v>3.5905258421052633</v>
      </c>
      <c r="I20" s="532">
        <v>3.5799998500000001</v>
      </c>
      <c r="J20" s="545">
        <v>149.82366071428572</v>
      </c>
      <c r="K20" s="546">
        <v>150.416</v>
      </c>
      <c r="L20" s="545">
        <v>148.41428571428571</v>
      </c>
      <c r="M20" s="535">
        <v>156.22321428571428</v>
      </c>
      <c r="N20" s="535">
        <v>156.10400000000001</v>
      </c>
      <c r="O20" s="535">
        <v>156.55714285714285</v>
      </c>
      <c r="P20" s="530">
        <v>6.197802197802198</v>
      </c>
      <c r="Q20" s="536">
        <v>0.16500000000000001</v>
      </c>
      <c r="R20" s="536">
        <v>0.13639999999999999</v>
      </c>
      <c r="S20" s="536">
        <v>0.1389</v>
      </c>
      <c r="T20" s="536">
        <v>0.59230000000000005</v>
      </c>
      <c r="U20" s="536">
        <v>0.1138</v>
      </c>
      <c r="V20" s="564">
        <v>25</v>
      </c>
      <c r="W20" s="411">
        <v>0.125</v>
      </c>
      <c r="X20" s="411">
        <v>0.5</v>
      </c>
      <c r="Y20" s="565">
        <v>91</v>
      </c>
      <c r="Z20" s="539">
        <v>0.64539007092198586</v>
      </c>
      <c r="AA20" s="540">
        <v>36</v>
      </c>
      <c r="AB20" s="540">
        <v>27</v>
      </c>
      <c r="AC20" s="540">
        <v>11</v>
      </c>
      <c r="AD20" s="540">
        <v>74</v>
      </c>
      <c r="AE20" s="541">
        <v>85</v>
      </c>
      <c r="AF20" s="542">
        <v>22.25</v>
      </c>
      <c r="AG20" s="543">
        <v>0.97802197802197799</v>
      </c>
      <c r="AH20" s="542">
        <v>22.75</v>
      </c>
      <c r="AI20" s="536">
        <v>1</v>
      </c>
    </row>
    <row r="21" spans="1:35" s="112" customFormat="1" x14ac:dyDescent="0.25">
      <c r="A21" s="9" t="s">
        <v>24</v>
      </c>
      <c r="B21" s="15" t="s">
        <v>21</v>
      </c>
      <c r="C21" s="72">
        <v>342</v>
      </c>
      <c r="D21" s="529">
        <v>67.599999999999994</v>
      </c>
      <c r="E21" s="529">
        <v>15.2</v>
      </c>
      <c r="F21" s="530">
        <v>6.4</v>
      </c>
      <c r="G21" s="560">
        <v>3.4264421009615385</v>
      </c>
      <c r="H21" s="532">
        <v>3.6177774444444442</v>
      </c>
      <c r="I21" s="532">
        <v>3.5647056470588234</v>
      </c>
      <c r="J21" s="545">
        <v>159.48648648648648</v>
      </c>
      <c r="K21" s="546">
        <v>161.80281690140845</v>
      </c>
      <c r="L21" s="545">
        <v>161.17241379310346</v>
      </c>
      <c r="M21" s="535">
        <v>153.96969696969697</v>
      </c>
      <c r="N21" s="535">
        <v>156.70422535211267</v>
      </c>
      <c r="O21" s="535">
        <v>155.68965517241378</v>
      </c>
      <c r="P21" s="530">
        <v>2.329192546583851</v>
      </c>
      <c r="Q21" s="536">
        <v>4.1399999999999999E-2</v>
      </c>
      <c r="R21" s="536">
        <v>2.63E-2</v>
      </c>
      <c r="S21" s="536">
        <v>3.1300000000000001E-2</v>
      </c>
      <c r="T21" s="536">
        <v>0.32890000000000003</v>
      </c>
      <c r="U21" s="536">
        <v>0.43419999999999997</v>
      </c>
      <c r="V21" s="564">
        <v>1</v>
      </c>
      <c r="W21" s="411">
        <v>0</v>
      </c>
      <c r="X21" s="411">
        <v>1</v>
      </c>
      <c r="Y21" s="565">
        <v>26</v>
      </c>
      <c r="Z21" s="539">
        <v>0.8666666666666667</v>
      </c>
      <c r="AA21" s="540">
        <v>2</v>
      </c>
      <c r="AB21" s="540">
        <v>1</v>
      </c>
      <c r="AC21" s="540">
        <v>18</v>
      </c>
      <c r="AD21" s="540">
        <v>21</v>
      </c>
      <c r="AE21" s="541">
        <v>26</v>
      </c>
      <c r="AF21" s="542">
        <v>11</v>
      </c>
      <c r="AG21" s="543">
        <v>0.85403726708074534</v>
      </c>
      <c r="AH21" s="542">
        <v>15.88</v>
      </c>
      <c r="AI21" s="536">
        <v>0.81108312342569266</v>
      </c>
    </row>
    <row r="22" spans="1:35" s="112" customFormat="1" x14ac:dyDescent="0.25">
      <c r="A22" s="9" t="s">
        <v>323</v>
      </c>
      <c r="B22" s="15" t="s">
        <v>21</v>
      </c>
      <c r="C22" s="72" t="s">
        <v>105</v>
      </c>
      <c r="D22" s="529">
        <v>80.2</v>
      </c>
      <c r="E22" s="529">
        <v>21.6</v>
      </c>
      <c r="F22" s="530">
        <v>14.6</v>
      </c>
      <c r="G22" s="566">
        <v>3.5326610282258066</v>
      </c>
      <c r="H22" s="532">
        <v>3.5666663333333335</v>
      </c>
      <c r="I22" s="532">
        <v>3.5234042340425531</v>
      </c>
      <c r="J22" s="545">
        <v>155.08011049723757</v>
      </c>
      <c r="K22" s="546">
        <v>155.84761904761905</v>
      </c>
      <c r="L22" s="545">
        <v>155.01333333333332</v>
      </c>
      <c r="M22" s="535">
        <v>155.7292817679558</v>
      </c>
      <c r="N22" s="535">
        <v>156.01904761904763</v>
      </c>
      <c r="O22" s="535">
        <v>153.61333333333334</v>
      </c>
      <c r="P22" s="530">
        <v>2.8714107365792758</v>
      </c>
      <c r="Q22" s="536">
        <v>6.2300000000000001E-2</v>
      </c>
      <c r="R22" s="536">
        <v>6.4799999999999996E-2</v>
      </c>
      <c r="S22" s="536">
        <v>8.2199999999999995E-2</v>
      </c>
      <c r="T22" s="536">
        <v>0.50319999999999998</v>
      </c>
      <c r="U22" s="536">
        <v>0.29980000000000001</v>
      </c>
      <c r="V22" s="564">
        <v>8</v>
      </c>
      <c r="W22" s="411">
        <v>0</v>
      </c>
      <c r="X22" s="411">
        <v>1</v>
      </c>
      <c r="Y22" s="565">
        <v>87</v>
      </c>
      <c r="Z22" s="539">
        <v>0.94565217391304346</v>
      </c>
      <c r="AA22" s="540">
        <v>10</v>
      </c>
      <c r="AB22" s="540">
        <v>1</v>
      </c>
      <c r="AC22" s="540">
        <v>34</v>
      </c>
      <c r="AD22" s="540">
        <v>45</v>
      </c>
      <c r="AE22" s="541">
        <v>57</v>
      </c>
      <c r="AF22" s="542">
        <v>30.49</v>
      </c>
      <c r="AG22" s="543">
        <v>0.95162297128589257</v>
      </c>
      <c r="AH22" s="542">
        <v>38.04</v>
      </c>
      <c r="AI22" s="536">
        <v>0.8422712933753943</v>
      </c>
    </row>
    <row r="23" spans="1:35" s="112" customFormat="1" x14ac:dyDescent="0.25">
      <c r="A23" s="9" t="s">
        <v>20</v>
      </c>
      <c r="B23" s="15" t="s">
        <v>21</v>
      </c>
      <c r="C23" s="72">
        <v>350</v>
      </c>
      <c r="D23" s="529">
        <v>590.79999999999995</v>
      </c>
      <c r="E23" s="529">
        <v>84.6</v>
      </c>
      <c r="F23" s="530">
        <v>56.2</v>
      </c>
      <c r="G23" s="567">
        <v>3.4273219617486341</v>
      </c>
      <c r="H23" s="532">
        <v>3.5339364932126696</v>
      </c>
      <c r="I23" s="532">
        <v>3.4956138684210525</v>
      </c>
      <c r="J23" s="545">
        <v>160.08736669401148</v>
      </c>
      <c r="K23" s="546">
        <v>158.05528846153845</v>
      </c>
      <c r="L23" s="545">
        <v>157.8166089965398</v>
      </c>
      <c r="M23" s="535">
        <v>151.35767022149304</v>
      </c>
      <c r="N23" s="535">
        <v>152.31009615384616</v>
      </c>
      <c r="O23" s="535">
        <v>150.75086505190311</v>
      </c>
      <c r="P23" s="530">
        <v>6.9281045751633989</v>
      </c>
      <c r="Q23" s="536">
        <v>3.6900000000000002E-2</v>
      </c>
      <c r="R23" s="536">
        <v>5.91E-2</v>
      </c>
      <c r="S23" s="536">
        <v>4.2700000000000002E-2</v>
      </c>
      <c r="T23" s="536">
        <v>0.38109999999999999</v>
      </c>
      <c r="U23" s="536">
        <v>0.56899999999999995</v>
      </c>
      <c r="V23" s="537">
        <v>17</v>
      </c>
      <c r="W23" s="410">
        <v>0.33333333333333331</v>
      </c>
      <c r="X23" s="410">
        <v>0.66666666666666663</v>
      </c>
      <c r="Y23" s="538">
        <v>250</v>
      </c>
      <c r="Z23" s="539">
        <v>0.94339622641509435</v>
      </c>
      <c r="AA23" s="540">
        <v>17</v>
      </c>
      <c r="AB23" s="540">
        <v>50</v>
      </c>
      <c r="AC23" s="540">
        <v>117</v>
      </c>
      <c r="AD23" s="540">
        <v>184</v>
      </c>
      <c r="AE23" s="541">
        <v>201</v>
      </c>
      <c r="AF23" s="542">
        <v>33.75</v>
      </c>
      <c r="AG23" s="543">
        <v>0.88235294117647056</v>
      </c>
      <c r="AH23" s="542">
        <v>48.3</v>
      </c>
      <c r="AI23" s="536">
        <v>0.79192546583850931</v>
      </c>
    </row>
    <row r="24" spans="1:35" x14ac:dyDescent="0.25">
      <c r="A24" s="9" t="s">
        <v>71</v>
      </c>
      <c r="B24" s="15" t="s">
        <v>21</v>
      </c>
      <c r="C24" s="72">
        <v>41</v>
      </c>
      <c r="D24" s="529">
        <v>11.2</v>
      </c>
      <c r="E24" s="529">
        <v>5.8</v>
      </c>
      <c r="F24" s="530">
        <v>4.4000000000000004</v>
      </c>
      <c r="G24" s="633">
        <v>3.5244440666666668</v>
      </c>
      <c r="H24" s="532">
        <v>3.5826081739130431</v>
      </c>
      <c r="I24" s="532">
        <v>3.6124999375</v>
      </c>
      <c r="J24" s="545">
        <v>149.85714285714286</v>
      </c>
      <c r="K24" s="546">
        <v>150.20833333333334</v>
      </c>
      <c r="L24" s="545">
        <v>149</v>
      </c>
      <c r="M24" s="545">
        <v>161.08571428571429</v>
      </c>
      <c r="N24" s="545">
        <v>162.375</v>
      </c>
      <c r="O24" s="545">
        <v>162.05882352941177</v>
      </c>
      <c r="P24" s="530">
        <v>3.2857142857142856</v>
      </c>
      <c r="Q24" s="536">
        <v>1.7899999999999999E-2</v>
      </c>
      <c r="R24" s="536">
        <v>0</v>
      </c>
      <c r="S24" s="536">
        <v>0</v>
      </c>
      <c r="T24" s="536">
        <v>0.35920000000000002</v>
      </c>
      <c r="U24" s="536">
        <v>6.3399999999999998E-2</v>
      </c>
      <c r="V24" s="537">
        <v>1</v>
      </c>
      <c r="W24" s="410">
        <v>0</v>
      </c>
      <c r="X24" s="410">
        <v>0</v>
      </c>
      <c r="Y24" s="538">
        <v>8</v>
      </c>
      <c r="Z24" s="631">
        <v>0.34782608695652173</v>
      </c>
      <c r="AA24" s="540">
        <v>15</v>
      </c>
      <c r="AB24" s="540">
        <v>0</v>
      </c>
      <c r="AC24" s="540">
        <v>0</v>
      </c>
      <c r="AD24" s="540">
        <v>15</v>
      </c>
      <c r="AE24" s="541">
        <v>16</v>
      </c>
      <c r="AF24" s="542">
        <v>7</v>
      </c>
      <c r="AG24" s="543">
        <v>1</v>
      </c>
      <c r="AH24" s="542">
        <v>9.5</v>
      </c>
      <c r="AI24" s="536">
        <v>0.73684210526315785</v>
      </c>
    </row>
    <row r="25" spans="1:35" s="112" customFormat="1" x14ac:dyDescent="0.25">
      <c r="A25" s="9" t="s">
        <v>320</v>
      </c>
      <c r="B25" s="15" t="s">
        <v>21</v>
      </c>
      <c r="C25" s="72" t="s">
        <v>107</v>
      </c>
      <c r="D25" s="529">
        <v>316.39999999999998</v>
      </c>
      <c r="E25" s="529">
        <v>27.2</v>
      </c>
      <c r="F25" s="530">
        <v>20</v>
      </c>
      <c r="G25" s="568">
        <v>3.6319620915438322</v>
      </c>
      <c r="H25" s="532">
        <v>3.7008401428571434</v>
      </c>
      <c r="I25" s="532">
        <v>3.6843372409638553</v>
      </c>
      <c r="J25" s="545">
        <v>151.43907563025209</v>
      </c>
      <c r="K25" s="546">
        <v>153.47407407407408</v>
      </c>
      <c r="L25" s="545">
        <v>153.2155172413793</v>
      </c>
      <c r="M25" s="535">
        <v>155.19887955182074</v>
      </c>
      <c r="N25" s="535">
        <v>158.65185185185186</v>
      </c>
      <c r="O25" s="535">
        <v>158.06896551724137</v>
      </c>
      <c r="P25" s="530">
        <v>3.6920659858601725</v>
      </c>
      <c r="Q25" s="536">
        <v>0.1852</v>
      </c>
      <c r="R25" s="536">
        <v>0.14710000000000001</v>
      </c>
      <c r="S25" s="536">
        <v>0.14000000000000001</v>
      </c>
      <c r="T25" s="536">
        <v>0.73670000000000002</v>
      </c>
      <c r="U25" s="536">
        <v>0.12970000000000001</v>
      </c>
      <c r="V25" s="537">
        <v>14</v>
      </c>
      <c r="W25" s="410">
        <v>0.2</v>
      </c>
      <c r="X25" s="410">
        <v>0.8</v>
      </c>
      <c r="Y25" s="538">
        <v>86</v>
      </c>
      <c r="Z25" s="539">
        <v>0.91489361702127658</v>
      </c>
      <c r="AA25" s="540">
        <v>7</v>
      </c>
      <c r="AB25" s="540">
        <v>7</v>
      </c>
      <c r="AC25" s="540">
        <v>13</v>
      </c>
      <c r="AD25" s="540">
        <v>27</v>
      </c>
      <c r="AE25" s="541">
        <v>106</v>
      </c>
      <c r="AF25" s="542">
        <v>24.46</v>
      </c>
      <c r="AG25" s="543">
        <v>0.96072270227808332</v>
      </c>
      <c r="AH25" s="542">
        <v>31.46</v>
      </c>
      <c r="AI25" s="536">
        <v>0.80928162746344567</v>
      </c>
    </row>
    <row r="26" spans="1:35" s="112" customFormat="1" x14ac:dyDescent="0.25">
      <c r="A26" s="9" t="s">
        <v>19</v>
      </c>
      <c r="B26" s="15" t="s">
        <v>18</v>
      </c>
      <c r="C26" s="72">
        <v>53</v>
      </c>
      <c r="D26" s="529">
        <v>106.2</v>
      </c>
      <c r="E26" s="529">
        <v>8.8000000000000007</v>
      </c>
      <c r="F26" s="530">
        <v>5</v>
      </c>
      <c r="G26" s="569">
        <v>3.5992124251968503</v>
      </c>
      <c r="H26" s="532">
        <v>3.7105263157894739</v>
      </c>
      <c r="I26" s="532">
        <v>3.6499996000000001</v>
      </c>
      <c r="J26" s="545">
        <v>162</v>
      </c>
      <c r="K26" s="570">
        <v>159.34883720930233</v>
      </c>
      <c r="L26" s="545">
        <v>158.6</v>
      </c>
      <c r="M26" s="535">
        <v>153.66666666666666</v>
      </c>
      <c r="N26" s="535">
        <v>156.44186046511629</v>
      </c>
      <c r="O26" s="535">
        <v>155.91999999999999</v>
      </c>
      <c r="P26" s="530">
        <v>1.6363636363636365</v>
      </c>
      <c r="Q26" s="536">
        <v>3.0099999999999998E-2</v>
      </c>
      <c r="R26" s="536">
        <v>0.15909999999999999</v>
      </c>
      <c r="S26" s="536">
        <v>0.16</v>
      </c>
      <c r="T26" s="536">
        <v>0.43359999999999999</v>
      </c>
      <c r="U26" s="536">
        <v>0.29199999999999998</v>
      </c>
      <c r="V26" s="571">
        <v>3</v>
      </c>
      <c r="W26" s="410">
        <v>0.5</v>
      </c>
      <c r="X26" s="410">
        <v>0.5</v>
      </c>
      <c r="Y26" s="572">
        <v>15</v>
      </c>
      <c r="Z26" s="539">
        <v>0.83333333333333337</v>
      </c>
      <c r="AA26" s="540">
        <v>12</v>
      </c>
      <c r="AB26" s="540">
        <v>7</v>
      </c>
      <c r="AC26" s="540">
        <v>2</v>
      </c>
      <c r="AD26" s="540">
        <v>21</v>
      </c>
      <c r="AE26" s="541">
        <v>22</v>
      </c>
      <c r="AF26" s="542">
        <v>11</v>
      </c>
      <c r="AG26" s="543">
        <v>1</v>
      </c>
      <c r="AH26" s="542">
        <v>12</v>
      </c>
      <c r="AI26" s="536">
        <v>0.91666666666666663</v>
      </c>
    </row>
    <row r="27" spans="1:35" s="112" customFormat="1" x14ac:dyDescent="0.25">
      <c r="A27" s="9" t="s">
        <v>27</v>
      </c>
      <c r="B27" s="15" t="s">
        <v>21</v>
      </c>
      <c r="C27" s="72">
        <v>60</v>
      </c>
      <c r="D27" s="529">
        <v>180.4</v>
      </c>
      <c r="E27" s="529">
        <v>17.8</v>
      </c>
      <c r="F27" s="530">
        <v>11.8</v>
      </c>
      <c r="G27" s="569">
        <v>3.6271081716867468</v>
      </c>
      <c r="H27" s="532">
        <v>3.6972218055555555</v>
      </c>
      <c r="I27" s="532">
        <v>3.704545045454545</v>
      </c>
      <c r="J27" s="545">
        <v>147.91861898890258</v>
      </c>
      <c r="K27" s="546">
        <v>147.4</v>
      </c>
      <c r="L27" s="545">
        <v>146.40983606557376</v>
      </c>
      <c r="M27" s="535">
        <v>159.12700369913688</v>
      </c>
      <c r="N27" s="535">
        <v>160.70588235294119</v>
      </c>
      <c r="O27" s="535">
        <v>159.62295081967213</v>
      </c>
      <c r="P27" s="530">
        <v>2.4249999999999998</v>
      </c>
      <c r="Q27" s="536">
        <v>0.112</v>
      </c>
      <c r="R27" s="536">
        <v>0.1348</v>
      </c>
      <c r="S27" s="536">
        <v>0.1186</v>
      </c>
      <c r="T27" s="536">
        <v>0.53790000000000004</v>
      </c>
      <c r="U27" s="536">
        <v>0.10829999999999999</v>
      </c>
      <c r="V27" s="571">
        <v>12</v>
      </c>
      <c r="W27" s="410">
        <v>0.4</v>
      </c>
      <c r="X27" s="410">
        <v>0.6</v>
      </c>
      <c r="Y27" s="572">
        <v>91</v>
      </c>
      <c r="Z27" s="539">
        <v>0.93814432989690721</v>
      </c>
      <c r="AA27" s="540">
        <v>57</v>
      </c>
      <c r="AB27" s="540">
        <v>1</v>
      </c>
      <c r="AC27" s="540">
        <v>13</v>
      </c>
      <c r="AD27" s="540">
        <v>71</v>
      </c>
      <c r="AE27" s="541">
        <v>74</v>
      </c>
      <c r="AF27" s="542">
        <v>40</v>
      </c>
      <c r="AG27" s="543">
        <v>1</v>
      </c>
      <c r="AH27" s="542">
        <v>40</v>
      </c>
      <c r="AI27" s="536">
        <v>1</v>
      </c>
    </row>
    <row r="28" spans="1:35" s="112" customFormat="1" x14ac:dyDescent="0.25">
      <c r="A28" s="9" t="s">
        <v>36</v>
      </c>
      <c r="B28" s="15" t="s">
        <v>21</v>
      </c>
      <c r="C28" s="72">
        <v>73</v>
      </c>
      <c r="D28" s="529">
        <v>22.8</v>
      </c>
      <c r="E28" s="529">
        <v>12.2</v>
      </c>
      <c r="F28" s="530">
        <v>5.4</v>
      </c>
      <c r="G28" s="569">
        <v>3.4153842692307697</v>
      </c>
      <c r="H28" s="532">
        <v>3.5388886111111111</v>
      </c>
      <c r="I28" s="532">
        <v>3.3999994999999998</v>
      </c>
      <c r="J28" s="545">
        <v>156.20754716981133</v>
      </c>
      <c r="K28" s="546">
        <v>156.22033898305085</v>
      </c>
      <c r="L28" s="545">
        <v>156.96153846153845</v>
      </c>
      <c r="M28" s="535">
        <v>151.03773584905662</v>
      </c>
      <c r="N28" s="535">
        <v>153.54237288135593</v>
      </c>
      <c r="O28" s="535">
        <v>151.92307692307693</v>
      </c>
      <c r="P28" s="530">
        <v>2.8</v>
      </c>
      <c r="Q28" s="536">
        <v>6.1400000000000003E-2</v>
      </c>
      <c r="R28" s="536">
        <v>6.5600000000000006E-2</v>
      </c>
      <c r="S28" s="536">
        <v>0.1111</v>
      </c>
      <c r="T28" s="536">
        <v>0.48570000000000002</v>
      </c>
      <c r="U28" s="536">
        <v>0.44569999999999999</v>
      </c>
      <c r="V28" s="571">
        <v>3</v>
      </c>
      <c r="W28" s="410">
        <v>0</v>
      </c>
      <c r="X28" s="410">
        <v>0</v>
      </c>
      <c r="Y28" s="572">
        <v>27</v>
      </c>
      <c r="Z28" s="539">
        <v>0.77142857142857146</v>
      </c>
      <c r="AA28" s="540">
        <v>12</v>
      </c>
      <c r="AB28" s="540">
        <v>7</v>
      </c>
      <c r="AC28" s="540">
        <v>7</v>
      </c>
      <c r="AD28" s="540">
        <v>26</v>
      </c>
      <c r="AE28" s="541">
        <v>27</v>
      </c>
      <c r="AF28" s="542">
        <v>12.5</v>
      </c>
      <c r="AG28" s="543">
        <v>1</v>
      </c>
      <c r="AH28" s="542">
        <v>12.5</v>
      </c>
      <c r="AI28" s="536">
        <v>1</v>
      </c>
    </row>
    <row r="29" spans="1:35" s="112" customFormat="1" x14ac:dyDescent="0.25">
      <c r="A29" s="9" t="s">
        <v>33</v>
      </c>
      <c r="B29" s="15" t="s">
        <v>21</v>
      </c>
      <c r="C29" s="72">
        <v>74</v>
      </c>
      <c r="D29" s="529">
        <v>29.6</v>
      </c>
      <c r="E29" s="529">
        <v>9.4</v>
      </c>
      <c r="F29" s="530">
        <v>4.4000000000000004</v>
      </c>
      <c r="G29" s="569">
        <v>3.6224133448275864</v>
      </c>
      <c r="H29" s="532">
        <v>3.6366664000000002</v>
      </c>
      <c r="I29" s="532">
        <v>3.6272726363636365</v>
      </c>
      <c r="J29" s="545">
        <v>158.5</v>
      </c>
      <c r="K29" s="546">
        <v>158.63043478260869</v>
      </c>
      <c r="L29" s="545">
        <v>158.82608695652175</v>
      </c>
      <c r="M29" s="535">
        <v>152.61194029850745</v>
      </c>
      <c r="N29" s="535">
        <v>155.82608695652175</v>
      </c>
      <c r="O29" s="535">
        <v>155.43478260869566</v>
      </c>
      <c r="P29" s="530">
        <v>1.7777777777777777</v>
      </c>
      <c r="Q29" s="536">
        <v>5.4100000000000002E-2</v>
      </c>
      <c r="R29" s="536">
        <v>4.2599999999999999E-2</v>
      </c>
      <c r="S29" s="536">
        <v>0</v>
      </c>
      <c r="T29" s="536">
        <v>0.48870000000000002</v>
      </c>
      <c r="U29" s="536">
        <v>0.3609</v>
      </c>
      <c r="V29" s="571">
        <v>0</v>
      </c>
      <c r="W29" s="410">
        <v>0</v>
      </c>
      <c r="X29" s="410">
        <v>0</v>
      </c>
      <c r="Y29" s="573">
        <v>29</v>
      </c>
      <c r="Z29" s="539">
        <v>0.90625</v>
      </c>
      <c r="AA29" s="574">
        <v>2</v>
      </c>
      <c r="AB29" s="574">
        <v>4</v>
      </c>
      <c r="AC29" s="574">
        <v>9</v>
      </c>
      <c r="AD29" s="540">
        <v>15</v>
      </c>
      <c r="AE29" s="541">
        <v>18</v>
      </c>
      <c r="AF29" s="542">
        <v>18</v>
      </c>
      <c r="AG29" s="543">
        <v>1</v>
      </c>
      <c r="AH29" s="542">
        <v>23.05</v>
      </c>
      <c r="AI29" s="536">
        <v>0.78091106290672452</v>
      </c>
    </row>
    <row r="30" spans="1:35" s="112" customFormat="1" x14ac:dyDescent="0.25">
      <c r="A30" s="9" t="s">
        <v>322</v>
      </c>
      <c r="B30" s="15" t="s">
        <v>21</v>
      </c>
      <c r="C30" s="72" t="s">
        <v>157</v>
      </c>
      <c r="D30" s="529">
        <v>2.8</v>
      </c>
      <c r="E30" s="529">
        <v>0.8</v>
      </c>
      <c r="F30" s="530">
        <v>0.4</v>
      </c>
      <c r="G30" s="568">
        <v>3.7666666666666671</v>
      </c>
      <c r="H30" s="532">
        <v>3.8</v>
      </c>
      <c r="I30" s="532">
        <v>3.7</v>
      </c>
      <c r="J30" s="545">
        <v>148.44444444444446</v>
      </c>
      <c r="K30" s="546">
        <v>149</v>
      </c>
      <c r="L30" s="545">
        <v>150</v>
      </c>
      <c r="M30" s="535">
        <v>153.22222222222223</v>
      </c>
      <c r="N30" s="535">
        <v>153</v>
      </c>
      <c r="O30" s="535">
        <v>150.5</v>
      </c>
      <c r="P30" s="530">
        <v>0.19230769230769232</v>
      </c>
      <c r="Q30" s="536">
        <v>0.1429</v>
      </c>
      <c r="R30" s="536">
        <v>0</v>
      </c>
      <c r="S30" s="536">
        <v>0</v>
      </c>
      <c r="T30" s="536">
        <v>0.45450000000000002</v>
      </c>
      <c r="U30" s="536">
        <v>0.3261</v>
      </c>
      <c r="V30" s="575">
        <v>0</v>
      </c>
      <c r="W30" s="411">
        <v>0.5</v>
      </c>
      <c r="X30" s="411">
        <v>0.5</v>
      </c>
      <c r="Y30" s="576">
        <v>2</v>
      </c>
      <c r="Z30" s="539">
        <v>0.4</v>
      </c>
      <c r="AA30" s="540">
        <v>10</v>
      </c>
      <c r="AB30" s="540">
        <v>1</v>
      </c>
      <c r="AC30" s="540">
        <v>4</v>
      </c>
      <c r="AD30" s="540">
        <v>15</v>
      </c>
      <c r="AE30" s="541">
        <v>15</v>
      </c>
      <c r="AF30" s="542">
        <v>26</v>
      </c>
      <c r="AG30" s="543">
        <v>1</v>
      </c>
      <c r="AH30" s="542">
        <v>49.5</v>
      </c>
      <c r="AI30" s="536">
        <v>0.5252525252525253</v>
      </c>
    </row>
    <row r="31" spans="1:35" s="112" customFormat="1" x14ac:dyDescent="0.25">
      <c r="A31" s="9" t="s">
        <v>30</v>
      </c>
      <c r="B31" s="15" t="s">
        <v>21</v>
      </c>
      <c r="C31" s="72">
        <v>81</v>
      </c>
      <c r="D31" s="529">
        <v>93</v>
      </c>
      <c r="E31" s="529">
        <v>16.2</v>
      </c>
      <c r="F31" s="530">
        <v>10.199999999999999</v>
      </c>
      <c r="G31" s="577">
        <v>3.6072912812499998</v>
      </c>
      <c r="H31" s="532">
        <v>3.7583328472222224</v>
      </c>
      <c r="I31" s="532">
        <v>3.7674413023255813</v>
      </c>
      <c r="J31" s="545">
        <v>147.92740046838406</v>
      </c>
      <c r="K31" s="546">
        <v>149.61250000000001</v>
      </c>
      <c r="L31" s="545">
        <v>149.33962264150944</v>
      </c>
      <c r="M31" s="535">
        <v>158.6658878504673</v>
      </c>
      <c r="N31" s="535">
        <v>161.75</v>
      </c>
      <c r="O31" s="535">
        <v>161.1320754716981</v>
      </c>
      <c r="P31" s="530">
        <v>2.0713073005093379</v>
      </c>
      <c r="Q31" s="536">
        <v>0.1226</v>
      </c>
      <c r="R31" s="536">
        <v>8.6400000000000005E-2</v>
      </c>
      <c r="S31" s="536">
        <v>5.8799999999999998E-2</v>
      </c>
      <c r="T31" s="536">
        <v>0.42180000000000001</v>
      </c>
      <c r="U31" s="536">
        <v>0.1285</v>
      </c>
      <c r="V31" s="571">
        <v>5</v>
      </c>
      <c r="W31" s="410">
        <v>0.6</v>
      </c>
      <c r="X31" s="410">
        <v>0.4</v>
      </c>
      <c r="Y31" s="572">
        <v>54</v>
      </c>
      <c r="Z31" s="539">
        <v>0.88524590163934425</v>
      </c>
      <c r="AA31" s="540">
        <v>23</v>
      </c>
      <c r="AB31" s="540">
        <v>5</v>
      </c>
      <c r="AC31" s="540">
        <v>1</v>
      </c>
      <c r="AD31" s="540">
        <v>29</v>
      </c>
      <c r="AE31" s="541">
        <v>34</v>
      </c>
      <c r="AF31" s="542">
        <v>29.45</v>
      </c>
      <c r="AG31" s="543">
        <v>1</v>
      </c>
      <c r="AH31" s="542">
        <v>30.45</v>
      </c>
      <c r="AI31" s="536">
        <v>0.96715927750410513</v>
      </c>
    </row>
    <row r="32" spans="1:35" s="112" customFormat="1" x14ac:dyDescent="0.25">
      <c r="A32" s="9" t="s">
        <v>32</v>
      </c>
      <c r="B32" s="15" t="s">
        <v>21</v>
      </c>
      <c r="C32" s="72">
        <v>90</v>
      </c>
      <c r="D32" s="529">
        <v>48.6</v>
      </c>
      <c r="E32" s="529">
        <v>16</v>
      </c>
      <c r="F32" s="530">
        <v>8</v>
      </c>
      <c r="G32" s="577">
        <v>3.6454544772727275</v>
      </c>
      <c r="H32" s="532">
        <v>3.7740740740740741</v>
      </c>
      <c r="I32" s="532">
        <v>3.7142857142857144</v>
      </c>
      <c r="J32" s="545">
        <v>148.57788944723617</v>
      </c>
      <c r="K32" s="546">
        <v>148.75641025641025</v>
      </c>
      <c r="L32" s="545">
        <v>146.53333333333333</v>
      </c>
      <c r="M32" s="535">
        <v>149.46231155778895</v>
      </c>
      <c r="N32" s="535">
        <v>151.56410256410257</v>
      </c>
      <c r="O32" s="535">
        <v>147.6888888888889</v>
      </c>
      <c r="P32" s="530">
        <v>3.7272727272727271</v>
      </c>
      <c r="Q32" s="536">
        <v>2.8799999999999999E-2</v>
      </c>
      <c r="R32" s="536">
        <v>6.25E-2</v>
      </c>
      <c r="S32" s="536">
        <v>2.5000000000000001E-2</v>
      </c>
      <c r="T32" s="536">
        <v>0.52880000000000005</v>
      </c>
      <c r="U32" s="536">
        <v>0.68059999999999998</v>
      </c>
      <c r="V32" s="571">
        <v>1</v>
      </c>
      <c r="W32" s="410">
        <v>0</v>
      </c>
      <c r="X32" s="410">
        <v>0</v>
      </c>
      <c r="Y32" s="572">
        <v>24</v>
      </c>
      <c r="Z32" s="539">
        <v>0.58536585365853655</v>
      </c>
      <c r="AA32" s="540">
        <v>14</v>
      </c>
      <c r="AB32" s="540">
        <v>3</v>
      </c>
      <c r="AC32" s="540">
        <v>1</v>
      </c>
      <c r="AD32" s="540">
        <v>18</v>
      </c>
      <c r="AE32" s="541">
        <v>23</v>
      </c>
      <c r="AF32" s="542">
        <v>10</v>
      </c>
      <c r="AG32" s="543">
        <v>0.90909090909090906</v>
      </c>
      <c r="AH32" s="542">
        <v>11</v>
      </c>
      <c r="AI32" s="536">
        <v>1</v>
      </c>
    </row>
    <row r="33" spans="1:35" s="112" customFormat="1" x14ac:dyDescent="0.25">
      <c r="A33" s="28" t="s">
        <v>28</v>
      </c>
      <c r="B33" s="15" t="s">
        <v>21</v>
      </c>
      <c r="C33" s="72">
        <v>94</v>
      </c>
      <c r="D33" s="529">
        <v>157.19999999999999</v>
      </c>
      <c r="E33" s="529">
        <v>40.4</v>
      </c>
      <c r="F33" s="530">
        <v>14.2</v>
      </c>
      <c r="G33" s="577">
        <v>3.565780179401993</v>
      </c>
      <c r="H33" s="532">
        <v>3.64710115942029</v>
      </c>
      <c r="I33" s="532">
        <v>3.6156861372549018</v>
      </c>
      <c r="J33" s="545">
        <v>162.59232954545453</v>
      </c>
      <c r="K33" s="546">
        <v>162.875</v>
      </c>
      <c r="L33" s="545">
        <v>162.26760563380282</v>
      </c>
      <c r="M33" s="535">
        <v>152.75</v>
      </c>
      <c r="N33" s="535">
        <v>157.16</v>
      </c>
      <c r="O33" s="535">
        <v>156.09859154929578</v>
      </c>
      <c r="P33" s="530">
        <v>1.8918918918918919</v>
      </c>
      <c r="Q33" s="536">
        <v>4.7100000000000003E-2</v>
      </c>
      <c r="R33" s="536">
        <v>8.4199999999999997E-2</v>
      </c>
      <c r="S33" s="536">
        <v>0.11269999999999999</v>
      </c>
      <c r="T33" s="536">
        <v>0.32490000000000002</v>
      </c>
      <c r="U33" s="536">
        <v>0.36520000000000002</v>
      </c>
      <c r="V33" s="571">
        <v>6</v>
      </c>
      <c r="W33" s="410">
        <v>0.66666666666666663</v>
      </c>
      <c r="X33" s="410">
        <v>0.33333333333333331</v>
      </c>
      <c r="Y33" s="572">
        <v>66</v>
      </c>
      <c r="Z33" s="539">
        <v>0.94285714285714284</v>
      </c>
      <c r="AA33" s="540">
        <v>19</v>
      </c>
      <c r="AB33" s="540">
        <v>4</v>
      </c>
      <c r="AC33" s="540">
        <v>15</v>
      </c>
      <c r="AD33" s="540">
        <v>38</v>
      </c>
      <c r="AE33" s="541">
        <v>42</v>
      </c>
      <c r="AF33" s="542">
        <v>37</v>
      </c>
      <c r="AG33" s="543">
        <v>1</v>
      </c>
      <c r="AH33" s="542">
        <v>43</v>
      </c>
      <c r="AI33" s="536">
        <v>0.86046511627906974</v>
      </c>
    </row>
    <row r="34" spans="1:35" s="112" customFormat="1" x14ac:dyDescent="0.25">
      <c r="A34" s="9" t="s">
        <v>34</v>
      </c>
      <c r="B34" s="15" t="s">
        <v>21</v>
      </c>
      <c r="C34" s="72">
        <v>108</v>
      </c>
      <c r="D34" s="529">
        <v>21.2</v>
      </c>
      <c r="E34" s="529">
        <v>3.8</v>
      </c>
      <c r="F34" s="530">
        <v>1.6</v>
      </c>
      <c r="G34" s="577">
        <v>3.6352939411764704</v>
      </c>
      <c r="H34" s="532">
        <v>3.7117645882352939</v>
      </c>
      <c r="I34" s="532">
        <v>3.7124997500000001</v>
      </c>
      <c r="J34" s="545">
        <v>154.24691358024691</v>
      </c>
      <c r="K34" s="546">
        <v>155.52631578947367</v>
      </c>
      <c r="L34" s="545">
        <v>152.875</v>
      </c>
      <c r="M34" s="535">
        <v>159.75308641975309</v>
      </c>
      <c r="N34" s="535">
        <v>163.21052631578948</v>
      </c>
      <c r="O34" s="535">
        <v>164.25</v>
      </c>
      <c r="P34" s="530">
        <v>0.44444444444444442</v>
      </c>
      <c r="Q34" s="536">
        <v>3.7699999999999997E-2</v>
      </c>
      <c r="R34" s="536">
        <v>0</v>
      </c>
      <c r="S34" s="536">
        <v>0</v>
      </c>
      <c r="T34" s="536">
        <v>8.3299999999999999E-2</v>
      </c>
      <c r="U34" s="536">
        <v>0.27079999999999999</v>
      </c>
      <c r="V34" s="571">
        <v>0</v>
      </c>
      <c r="W34" s="410">
        <v>0.5</v>
      </c>
      <c r="X34" s="410">
        <v>0</v>
      </c>
      <c r="Y34" s="572">
        <v>3</v>
      </c>
      <c r="Z34" s="539">
        <v>0.75</v>
      </c>
      <c r="AA34" s="540">
        <v>10</v>
      </c>
      <c r="AB34" s="540">
        <v>2</v>
      </c>
      <c r="AC34" s="540">
        <v>0</v>
      </c>
      <c r="AD34" s="540">
        <v>12</v>
      </c>
      <c r="AE34" s="541">
        <v>14</v>
      </c>
      <c r="AF34" s="542">
        <v>9</v>
      </c>
      <c r="AG34" s="543">
        <v>1</v>
      </c>
      <c r="AH34" s="542">
        <v>9.75</v>
      </c>
      <c r="AI34" s="536">
        <v>0.92307692307692313</v>
      </c>
    </row>
    <row r="35" spans="1:35" s="112" customFormat="1" x14ac:dyDescent="0.25">
      <c r="A35" s="9" t="s">
        <v>25</v>
      </c>
      <c r="B35" s="15" t="s">
        <v>21</v>
      </c>
      <c r="C35" s="72">
        <v>110</v>
      </c>
      <c r="D35" s="529">
        <v>286.39999999999998</v>
      </c>
      <c r="E35" s="529">
        <v>67.400000000000006</v>
      </c>
      <c r="F35" s="530">
        <v>23.6</v>
      </c>
      <c r="G35" s="577">
        <v>3.5263291569148931</v>
      </c>
      <c r="H35" s="532">
        <v>3.6310158609625667</v>
      </c>
      <c r="I35" s="532">
        <v>3.560316920634921</v>
      </c>
      <c r="J35" s="545">
        <v>162.52927215189874</v>
      </c>
      <c r="K35" s="546">
        <v>162.42388059701491</v>
      </c>
      <c r="L35" s="545">
        <v>161.25619834710744</v>
      </c>
      <c r="M35" s="535">
        <v>152.17009493670886</v>
      </c>
      <c r="N35" s="535">
        <v>155.51343283582091</v>
      </c>
      <c r="O35" s="535">
        <v>153.84297520661158</v>
      </c>
      <c r="P35" s="530">
        <v>2.9571106094808126</v>
      </c>
      <c r="Q35" s="536">
        <v>3.6299999999999999E-2</v>
      </c>
      <c r="R35" s="536">
        <v>5.9299999999999999E-2</v>
      </c>
      <c r="S35" s="536">
        <v>4.24E-2</v>
      </c>
      <c r="T35" s="536">
        <v>0.16739999999999999</v>
      </c>
      <c r="U35" s="536">
        <v>0.51400000000000001</v>
      </c>
      <c r="V35" s="571">
        <v>5</v>
      </c>
      <c r="W35" s="410">
        <v>0.5</v>
      </c>
      <c r="X35" s="410">
        <v>0.5</v>
      </c>
      <c r="Y35" s="572">
        <v>131</v>
      </c>
      <c r="Z35" s="539">
        <v>1</v>
      </c>
      <c r="AA35" s="540">
        <v>6</v>
      </c>
      <c r="AB35" s="540">
        <v>24</v>
      </c>
      <c r="AC35" s="540">
        <v>49</v>
      </c>
      <c r="AD35" s="540">
        <v>79</v>
      </c>
      <c r="AE35" s="541">
        <v>91</v>
      </c>
      <c r="AF35" s="542">
        <v>41</v>
      </c>
      <c r="AG35" s="543">
        <v>0.92550790067720101</v>
      </c>
      <c r="AH35" s="542">
        <v>58.42</v>
      </c>
      <c r="AI35" s="536">
        <v>0.75830195138651135</v>
      </c>
    </row>
    <row r="36" spans="1:35" s="112" customFormat="1" x14ac:dyDescent="0.25">
      <c r="A36" s="9" t="s">
        <v>31</v>
      </c>
      <c r="B36" s="15" t="s">
        <v>21</v>
      </c>
      <c r="C36" s="72" t="s">
        <v>163</v>
      </c>
      <c r="D36" s="529">
        <v>87.8</v>
      </c>
      <c r="E36" s="529">
        <v>43.4</v>
      </c>
      <c r="F36" s="530">
        <v>16.600000000000001</v>
      </c>
      <c r="G36" s="577">
        <v>3.6030649080459769</v>
      </c>
      <c r="H36" s="532">
        <v>3.6887414105960263</v>
      </c>
      <c r="I36" s="532">
        <v>3.692856928571429</v>
      </c>
      <c r="J36" s="545">
        <v>151.90151515151516</v>
      </c>
      <c r="K36" s="546">
        <v>153.24186046511628</v>
      </c>
      <c r="L36" s="545">
        <v>152.13095238095238</v>
      </c>
      <c r="M36" s="535">
        <v>157.09595959595958</v>
      </c>
      <c r="N36" s="535">
        <v>159.93953488372094</v>
      </c>
      <c r="O36" s="535">
        <v>158.86904761904762</v>
      </c>
      <c r="P36" s="530">
        <v>3.0714285714285716</v>
      </c>
      <c r="Q36" s="536">
        <v>0.1298</v>
      </c>
      <c r="R36" s="536">
        <v>0.1336</v>
      </c>
      <c r="S36" s="536">
        <v>0.1928</v>
      </c>
      <c r="T36" s="536">
        <v>0.38590000000000002</v>
      </c>
      <c r="U36" s="536">
        <v>0.27289999999999998</v>
      </c>
      <c r="V36" s="571">
        <v>13</v>
      </c>
      <c r="W36" s="410">
        <v>0.5</v>
      </c>
      <c r="X36" s="410">
        <v>0.33333333333333331</v>
      </c>
      <c r="Y36" s="572">
        <v>74</v>
      </c>
      <c r="Z36" s="539">
        <v>0.86046511627906974</v>
      </c>
      <c r="AA36" s="540">
        <v>27</v>
      </c>
      <c r="AB36" s="540">
        <v>6</v>
      </c>
      <c r="AC36" s="540">
        <v>1</v>
      </c>
      <c r="AD36" s="540">
        <v>34</v>
      </c>
      <c r="AE36" s="541">
        <v>44</v>
      </c>
      <c r="AF36" s="542">
        <v>27</v>
      </c>
      <c r="AG36" s="543">
        <v>0.9642857142857143</v>
      </c>
      <c r="AH36" s="542">
        <v>31.22</v>
      </c>
      <c r="AI36" s="536">
        <v>0.89686098654708524</v>
      </c>
    </row>
    <row r="37" spans="1:35" x14ac:dyDescent="0.25">
      <c r="A37" s="9" t="s">
        <v>70</v>
      </c>
      <c r="B37" s="15" t="s">
        <v>21</v>
      </c>
      <c r="C37" s="72" t="s">
        <v>166</v>
      </c>
      <c r="D37" s="529">
        <v>17</v>
      </c>
      <c r="E37" s="529">
        <v>8.8000000000000007</v>
      </c>
      <c r="F37" s="530">
        <v>5</v>
      </c>
      <c r="G37" s="596">
        <v>3.6736837894736842</v>
      </c>
      <c r="H37" s="532">
        <v>3.6621619999999995</v>
      </c>
      <c r="I37" s="532">
        <v>3.642856952380952</v>
      </c>
      <c r="J37" s="545">
        <v>149.88749999999999</v>
      </c>
      <c r="K37" s="546">
        <v>151.30232558139534</v>
      </c>
      <c r="L37" s="545">
        <v>151.44</v>
      </c>
      <c r="M37" s="545">
        <v>159.375</v>
      </c>
      <c r="N37" s="545">
        <v>161.83720930232559</v>
      </c>
      <c r="O37" s="545">
        <v>161.04</v>
      </c>
      <c r="P37" s="530">
        <v>2.0890099909173481</v>
      </c>
      <c r="Q37" s="536">
        <v>0.10589999999999999</v>
      </c>
      <c r="R37" s="536">
        <v>4.5499999999999999E-2</v>
      </c>
      <c r="S37" s="536">
        <v>0.04</v>
      </c>
      <c r="T37" s="536">
        <v>0.59460000000000002</v>
      </c>
      <c r="U37" s="536">
        <v>9.01E-2</v>
      </c>
      <c r="V37" s="537">
        <v>0</v>
      </c>
      <c r="W37" s="410">
        <v>0</v>
      </c>
      <c r="X37" s="410">
        <v>0</v>
      </c>
      <c r="Y37" s="538">
        <v>18</v>
      </c>
      <c r="Z37" s="539">
        <v>0.78260869565217395</v>
      </c>
      <c r="AA37" s="540">
        <v>15</v>
      </c>
      <c r="AB37" s="540">
        <v>1</v>
      </c>
      <c r="AC37" s="540">
        <v>0</v>
      </c>
      <c r="AD37" s="540">
        <v>16</v>
      </c>
      <c r="AE37" s="541">
        <v>15</v>
      </c>
      <c r="AF37" s="542">
        <v>10.51</v>
      </c>
      <c r="AG37" s="543">
        <v>0.95458673932788374</v>
      </c>
      <c r="AH37" s="542">
        <v>11.01</v>
      </c>
      <c r="AI37" s="536">
        <v>1</v>
      </c>
    </row>
    <row r="38" spans="1:35" s="112" customFormat="1" x14ac:dyDescent="0.25">
      <c r="A38" s="9" t="s">
        <v>152</v>
      </c>
      <c r="B38" s="15" t="s">
        <v>21</v>
      </c>
      <c r="C38" s="72" t="s">
        <v>158</v>
      </c>
      <c r="D38" s="529">
        <v>20.399999999999999</v>
      </c>
      <c r="E38" s="529">
        <v>5.6</v>
      </c>
      <c r="F38" s="530">
        <v>4.2</v>
      </c>
      <c r="G38" s="577">
        <v>3.5392854285714286</v>
      </c>
      <c r="H38" s="532">
        <v>3.7181818181818183</v>
      </c>
      <c r="I38" s="532">
        <v>3.6833331666666669</v>
      </c>
      <c r="J38" s="545">
        <v>143.51219512195121</v>
      </c>
      <c r="K38" s="546">
        <v>141.90909090909091</v>
      </c>
      <c r="L38" s="545">
        <v>143</v>
      </c>
      <c r="M38" s="535">
        <v>149.73170731707316</v>
      </c>
      <c r="N38" s="535">
        <v>149.81818181818181</v>
      </c>
      <c r="O38" s="535">
        <v>150.28571428571428</v>
      </c>
      <c r="P38" s="530">
        <v>3.5294117647058822</v>
      </c>
      <c r="Q38" s="536">
        <v>0.43140000000000001</v>
      </c>
      <c r="R38" s="536">
        <v>0.32140000000000002</v>
      </c>
      <c r="S38" s="536">
        <v>0.23810000000000001</v>
      </c>
      <c r="T38" s="536">
        <v>0.79730000000000001</v>
      </c>
      <c r="U38" s="536">
        <v>0.56850000000000001</v>
      </c>
      <c r="V38" s="578">
        <v>3</v>
      </c>
      <c r="W38" s="411">
        <v>0.16666666666666666</v>
      </c>
      <c r="X38" s="411">
        <v>0.5</v>
      </c>
      <c r="Y38" s="579">
        <v>24</v>
      </c>
      <c r="Z38" s="539">
        <v>0.8</v>
      </c>
      <c r="AA38" s="540">
        <v>23</v>
      </c>
      <c r="AB38" s="540">
        <v>3</v>
      </c>
      <c r="AC38" s="540">
        <v>0</v>
      </c>
      <c r="AD38" s="540">
        <v>26</v>
      </c>
      <c r="AE38" s="541">
        <v>28</v>
      </c>
      <c r="AF38" s="542">
        <v>8.5</v>
      </c>
      <c r="AG38" s="543">
        <v>1</v>
      </c>
      <c r="AH38" s="542">
        <v>18.5</v>
      </c>
      <c r="AI38" s="536">
        <v>0.45945945945945948</v>
      </c>
    </row>
    <row r="39" spans="1:35" s="112" customFormat="1" x14ac:dyDescent="0.25">
      <c r="A39" s="9" t="s">
        <v>321</v>
      </c>
      <c r="B39" s="15" t="s">
        <v>21</v>
      </c>
      <c r="C39" s="72" t="s">
        <v>109</v>
      </c>
      <c r="D39" s="529">
        <v>68.2</v>
      </c>
      <c r="E39" s="529">
        <v>31.4</v>
      </c>
      <c r="F39" s="530">
        <v>13</v>
      </c>
      <c r="G39" s="568">
        <v>3.5647320000000002</v>
      </c>
      <c r="H39" s="532">
        <v>3.6654864955752213</v>
      </c>
      <c r="I39" s="532">
        <v>3.6318180909090914</v>
      </c>
      <c r="J39" s="545">
        <v>150.15460526315789</v>
      </c>
      <c r="K39" s="546">
        <v>151.67741935483872</v>
      </c>
      <c r="L39" s="545">
        <v>150.54545454545453</v>
      </c>
      <c r="M39" s="535">
        <v>154.125</v>
      </c>
      <c r="N39" s="535">
        <v>156.50322580645161</v>
      </c>
      <c r="O39" s="535">
        <v>156.19696969696969</v>
      </c>
      <c r="P39" s="530">
        <v>3.7629350893697082</v>
      </c>
      <c r="Q39" s="536">
        <v>0.217</v>
      </c>
      <c r="R39" s="536">
        <v>0.1656</v>
      </c>
      <c r="S39" s="536">
        <v>0.21540000000000001</v>
      </c>
      <c r="T39" s="536">
        <v>0.65839999999999999</v>
      </c>
      <c r="U39" s="536">
        <v>0.15709999999999999</v>
      </c>
      <c r="V39" s="571">
        <v>20</v>
      </c>
      <c r="W39" s="410">
        <v>0.22222222222222221</v>
      </c>
      <c r="X39" s="410">
        <v>0.66666666666666663</v>
      </c>
      <c r="Y39" s="572">
        <v>65</v>
      </c>
      <c r="Z39" s="539">
        <v>0.8125</v>
      </c>
      <c r="AA39" s="540">
        <v>30</v>
      </c>
      <c r="AB39" s="540">
        <v>12</v>
      </c>
      <c r="AC39" s="540">
        <v>2</v>
      </c>
      <c r="AD39" s="540">
        <v>44</v>
      </c>
      <c r="AE39" s="541">
        <v>46</v>
      </c>
      <c r="AF39" s="542">
        <v>21.26</v>
      </c>
      <c r="AG39" s="543">
        <v>1</v>
      </c>
      <c r="AH39" s="542">
        <v>22.51</v>
      </c>
      <c r="AI39" s="536">
        <v>0.94446912483340739</v>
      </c>
    </row>
    <row r="40" spans="1:35" s="112" customFormat="1" x14ac:dyDescent="0.25">
      <c r="A40" s="9" t="s">
        <v>26</v>
      </c>
      <c r="B40" s="15" t="s">
        <v>21</v>
      </c>
      <c r="C40" s="72">
        <v>132</v>
      </c>
      <c r="D40" s="529">
        <v>206.2</v>
      </c>
      <c r="E40" s="529">
        <v>17.2</v>
      </c>
      <c r="F40" s="530">
        <v>15.6</v>
      </c>
      <c r="G40" s="580">
        <v>3.6581697908496733</v>
      </c>
      <c r="H40" s="532">
        <v>3.7363635454545454</v>
      </c>
      <c r="I40" s="532">
        <v>3.737036925925926</v>
      </c>
      <c r="J40" s="545">
        <v>164.02352941176471</v>
      </c>
      <c r="K40" s="546">
        <v>163.30232558139534</v>
      </c>
      <c r="L40" s="545">
        <v>163.65</v>
      </c>
      <c r="M40" s="535">
        <v>153.76791443850269</v>
      </c>
      <c r="N40" s="535">
        <v>155.88372093023256</v>
      </c>
      <c r="O40" s="535">
        <v>156.03749999999999</v>
      </c>
      <c r="P40" s="530">
        <v>5.2222222222222223</v>
      </c>
      <c r="Q40" s="536">
        <v>1.1599999999999999E-2</v>
      </c>
      <c r="R40" s="536">
        <v>3.49E-2</v>
      </c>
      <c r="S40" s="536">
        <v>3.85E-2</v>
      </c>
      <c r="T40" s="536">
        <v>0.35270000000000001</v>
      </c>
      <c r="U40" s="536">
        <v>0.70550000000000002</v>
      </c>
      <c r="V40" s="571">
        <v>1</v>
      </c>
      <c r="W40" s="410">
        <v>1</v>
      </c>
      <c r="X40" s="410">
        <v>0</v>
      </c>
      <c r="Y40" s="572">
        <v>45</v>
      </c>
      <c r="Z40" s="539">
        <v>0.95744680851063835</v>
      </c>
      <c r="AA40" s="540">
        <v>9</v>
      </c>
      <c r="AB40" s="540">
        <v>11</v>
      </c>
      <c r="AC40" s="540">
        <v>8</v>
      </c>
      <c r="AD40" s="540">
        <v>28</v>
      </c>
      <c r="AE40" s="541">
        <v>29</v>
      </c>
      <c r="AF40" s="542">
        <v>8</v>
      </c>
      <c r="AG40" s="543">
        <v>0.88888888888888884</v>
      </c>
      <c r="AH40" s="542">
        <v>13</v>
      </c>
      <c r="AI40" s="536">
        <v>0.69230769230769229</v>
      </c>
    </row>
    <row r="41" spans="1:35" s="112" customFormat="1" x14ac:dyDescent="0.25">
      <c r="A41" s="81" t="s">
        <v>38</v>
      </c>
      <c r="B41" s="15" t="s">
        <v>39</v>
      </c>
      <c r="C41" s="72">
        <v>141</v>
      </c>
      <c r="D41" s="529">
        <v>67.599999999999994</v>
      </c>
      <c r="E41" s="529">
        <v>27.4</v>
      </c>
      <c r="F41" s="530">
        <v>13</v>
      </c>
      <c r="G41" s="580">
        <v>3.4592589259259259</v>
      </c>
      <c r="H41" s="532">
        <v>3.546153653846154</v>
      </c>
      <c r="I41" s="532">
        <v>3.4812500000000002</v>
      </c>
      <c r="J41" s="545">
        <v>156.93560606060606</v>
      </c>
      <c r="K41" s="546">
        <v>158.36799999999999</v>
      </c>
      <c r="L41" s="545">
        <v>157.38983050847457</v>
      </c>
      <c r="M41" s="535">
        <v>149.75</v>
      </c>
      <c r="N41" s="535">
        <v>153.10400000000001</v>
      </c>
      <c r="O41" s="535">
        <v>153.40677966101694</v>
      </c>
      <c r="P41" s="530">
        <v>1.6557377049180328</v>
      </c>
      <c r="Q41" s="536">
        <v>3.2500000000000001E-2</v>
      </c>
      <c r="R41" s="536">
        <v>2.1899999999999999E-2</v>
      </c>
      <c r="S41" s="536">
        <v>3.0800000000000001E-2</v>
      </c>
      <c r="T41" s="536">
        <v>0.4143</v>
      </c>
      <c r="U41" s="536">
        <v>0.48110000000000003</v>
      </c>
      <c r="V41" s="578">
        <v>8</v>
      </c>
      <c r="W41" s="411">
        <v>1</v>
      </c>
      <c r="X41" s="411">
        <v>0</v>
      </c>
      <c r="Y41" s="581">
        <v>51</v>
      </c>
      <c r="Z41" s="539">
        <v>0.50495049504950495</v>
      </c>
      <c r="AA41" s="540">
        <v>24</v>
      </c>
      <c r="AB41" s="540">
        <v>11</v>
      </c>
      <c r="AC41" s="540">
        <v>5</v>
      </c>
      <c r="AD41" s="540">
        <v>40</v>
      </c>
      <c r="AE41" s="541">
        <v>46</v>
      </c>
      <c r="AF41" s="542">
        <v>55</v>
      </c>
      <c r="AG41" s="543">
        <v>0.90163934426229508</v>
      </c>
      <c r="AH41" s="542">
        <v>70</v>
      </c>
      <c r="AI41" s="536">
        <v>0.87142857142857144</v>
      </c>
    </row>
    <row r="42" spans="1:35" s="112" customFormat="1" x14ac:dyDescent="0.25">
      <c r="A42" s="9" t="s">
        <v>41</v>
      </c>
      <c r="B42" s="71" t="s">
        <v>40</v>
      </c>
      <c r="C42" s="72">
        <v>437</v>
      </c>
      <c r="D42" s="529">
        <v>88.2</v>
      </c>
      <c r="E42" s="529">
        <v>36.4</v>
      </c>
      <c r="F42" s="530">
        <v>24.4</v>
      </c>
      <c r="G42" s="582">
        <v>3.5275189573643408</v>
      </c>
      <c r="H42" s="532">
        <v>3.5658114871794875</v>
      </c>
      <c r="I42" s="532">
        <v>3.573469112244898</v>
      </c>
      <c r="J42" s="545">
        <v>148.99166666666667</v>
      </c>
      <c r="K42" s="546">
        <v>151.27167630057804</v>
      </c>
      <c r="L42" s="545">
        <v>149.63025210084032</v>
      </c>
      <c r="M42" s="535">
        <v>151.4638888888889</v>
      </c>
      <c r="N42" s="535">
        <v>154.82080924855492</v>
      </c>
      <c r="O42" s="535">
        <v>153.98319327731093</v>
      </c>
      <c r="P42" s="530">
        <v>3.2510288065843622</v>
      </c>
      <c r="Q42" s="536">
        <v>0.16550000000000001</v>
      </c>
      <c r="R42" s="536">
        <v>0.12089999999999999</v>
      </c>
      <c r="S42" s="536">
        <v>0.15570000000000001</v>
      </c>
      <c r="T42" s="536">
        <v>0.78969999999999996</v>
      </c>
      <c r="U42" s="536">
        <v>0.23039999999999999</v>
      </c>
      <c r="V42" s="571">
        <v>9</v>
      </c>
      <c r="W42" s="410">
        <v>0.375</v>
      </c>
      <c r="X42" s="410">
        <v>0.5</v>
      </c>
      <c r="Y42" s="572">
        <v>45</v>
      </c>
      <c r="Z42" s="539">
        <v>0.569620253164557</v>
      </c>
      <c r="AA42" s="540">
        <v>26</v>
      </c>
      <c r="AB42" s="540">
        <v>10</v>
      </c>
      <c r="AC42" s="540">
        <v>6</v>
      </c>
      <c r="AD42" s="540">
        <v>42</v>
      </c>
      <c r="AE42" s="541">
        <v>65</v>
      </c>
      <c r="AF42" s="542">
        <v>22.33</v>
      </c>
      <c r="AG42" s="543">
        <v>0.91893004115226329</v>
      </c>
      <c r="AH42" s="542">
        <v>39.33</v>
      </c>
      <c r="AI42" s="536">
        <v>0.61784897025171626</v>
      </c>
    </row>
    <row r="43" spans="1:35" s="207" customFormat="1" ht="59.25" customHeight="1" x14ac:dyDescent="0.25">
      <c r="A43" s="327" t="s">
        <v>316</v>
      </c>
      <c r="B43" s="71" t="s">
        <v>40</v>
      </c>
      <c r="C43" s="119" t="s">
        <v>170</v>
      </c>
      <c r="D43" s="549">
        <v>115.8</v>
      </c>
      <c r="E43" s="549">
        <v>50.4</v>
      </c>
      <c r="F43" s="550">
        <v>31</v>
      </c>
      <c r="G43" s="583">
        <v>3.4759100924369748</v>
      </c>
      <c r="H43" s="552">
        <v>3.5248583841807903</v>
      </c>
      <c r="I43" s="552">
        <v>3.521773991935484</v>
      </c>
      <c r="J43" s="584">
        <v>149.45098039215685</v>
      </c>
      <c r="K43" s="585">
        <v>150.34552845528455</v>
      </c>
      <c r="L43" s="584">
        <v>147.40645161290323</v>
      </c>
      <c r="M43" s="586">
        <v>152.15032679738562</v>
      </c>
      <c r="N43" s="586">
        <v>153.41463414634146</v>
      </c>
      <c r="O43" s="586">
        <v>152.83870967741936</v>
      </c>
      <c r="P43" s="550">
        <v>4.5789473684210522</v>
      </c>
      <c r="Q43" s="358">
        <v>0.2487</v>
      </c>
      <c r="R43" s="358">
        <v>0.1825</v>
      </c>
      <c r="S43" s="358">
        <v>0.21290000000000001</v>
      </c>
      <c r="T43" s="358">
        <v>0.66249999999999998</v>
      </c>
      <c r="U43" s="358">
        <v>0.18049999999999999</v>
      </c>
      <c r="V43" s="587">
        <v>23</v>
      </c>
      <c r="W43" s="412">
        <v>0.42105263157894735</v>
      </c>
      <c r="X43" s="412">
        <v>0.36842105263157893</v>
      </c>
      <c r="Y43" s="588">
        <v>48</v>
      </c>
      <c r="Z43" s="558">
        <v>0.55172413793103448</v>
      </c>
      <c r="AA43" s="387">
        <v>69</v>
      </c>
      <c r="AB43" s="387">
        <v>52</v>
      </c>
      <c r="AC43" s="387">
        <v>5</v>
      </c>
      <c r="AD43" s="387">
        <v>126</v>
      </c>
      <c r="AE43" s="120">
        <v>130</v>
      </c>
      <c r="AF43" s="480">
        <v>16</v>
      </c>
      <c r="AG43" s="479">
        <v>0.84210526315789469</v>
      </c>
      <c r="AH43" s="480">
        <v>24</v>
      </c>
      <c r="AI43" s="358">
        <v>0.79166666666666663</v>
      </c>
    </row>
    <row r="44" spans="1:35" s="112" customFormat="1" x14ac:dyDescent="0.25">
      <c r="A44" s="9" t="s">
        <v>324</v>
      </c>
      <c r="B44" s="71" t="s">
        <v>40</v>
      </c>
      <c r="C44" s="72" t="s">
        <v>123</v>
      </c>
      <c r="D44" s="529">
        <v>52.2</v>
      </c>
      <c r="E44" s="529">
        <v>15.4</v>
      </c>
      <c r="F44" s="530">
        <v>8.8000000000000007</v>
      </c>
      <c r="G44" s="589">
        <v>3.5777171684782605</v>
      </c>
      <c r="H44" s="532">
        <v>3.6436362363636361</v>
      </c>
      <c r="I44" s="532">
        <v>3.6393939090909089</v>
      </c>
      <c r="J44" s="545">
        <v>151.42922374429224</v>
      </c>
      <c r="K44" s="546">
        <v>152.40540540540542</v>
      </c>
      <c r="L44" s="545">
        <v>151.69767441860466</v>
      </c>
      <c r="M44" s="535">
        <v>154.68036529680364</v>
      </c>
      <c r="N44" s="535">
        <v>156.62162162162161</v>
      </c>
      <c r="O44" s="535">
        <v>157.06976744186048</v>
      </c>
      <c r="P44" s="530">
        <v>3.2857142857142856</v>
      </c>
      <c r="Q44" s="536">
        <v>0.1724</v>
      </c>
      <c r="R44" s="536">
        <v>0.15579999999999999</v>
      </c>
      <c r="S44" s="536">
        <v>0.20449999999999999</v>
      </c>
      <c r="T44" s="536">
        <v>0.83850000000000002</v>
      </c>
      <c r="U44" s="536">
        <v>9.4899999999999998E-2</v>
      </c>
      <c r="V44" s="537">
        <v>14</v>
      </c>
      <c r="W44" s="410">
        <v>0.22222222222222221</v>
      </c>
      <c r="X44" s="410">
        <v>0.55555555555555558</v>
      </c>
      <c r="Y44" s="538">
        <v>45</v>
      </c>
      <c r="Z44" s="539">
        <v>0.65217391304347827</v>
      </c>
      <c r="AA44" s="540">
        <v>18</v>
      </c>
      <c r="AB44" s="540">
        <v>14</v>
      </c>
      <c r="AC44" s="540">
        <v>8</v>
      </c>
      <c r="AD44" s="540">
        <v>40</v>
      </c>
      <c r="AE44" s="541">
        <v>48</v>
      </c>
      <c r="AF44" s="542">
        <v>19</v>
      </c>
      <c r="AG44" s="543">
        <v>0.90476190476190477</v>
      </c>
      <c r="AH44" s="542">
        <v>31</v>
      </c>
      <c r="AI44" s="536">
        <v>0.67741935483870963</v>
      </c>
    </row>
    <row r="45" spans="1:35" s="135" customFormat="1" x14ac:dyDescent="0.25">
      <c r="A45" s="328" t="s">
        <v>325</v>
      </c>
      <c r="B45" s="329" t="s">
        <v>43</v>
      </c>
      <c r="C45" s="330" t="s">
        <v>111</v>
      </c>
      <c r="D45" s="529">
        <v>287.2</v>
      </c>
      <c r="E45" s="529">
        <v>112.6</v>
      </c>
      <c r="F45" s="530">
        <v>36.6</v>
      </c>
      <c r="G45" s="589">
        <v>3.5953189106382979</v>
      </c>
      <c r="H45" s="532">
        <v>3.6434551204188486</v>
      </c>
      <c r="I45" s="532">
        <v>3.6202015858585854</v>
      </c>
      <c r="J45" s="545">
        <v>162.55484896661366</v>
      </c>
      <c r="K45" s="590">
        <v>162.76363636363635</v>
      </c>
      <c r="L45" s="545">
        <v>161.05347593582889</v>
      </c>
      <c r="M45" s="535">
        <v>151.31319554848966</v>
      </c>
      <c r="N45" s="535">
        <v>153.74909090909091</v>
      </c>
      <c r="O45" s="535">
        <v>153.24598930481284</v>
      </c>
      <c r="P45" s="530">
        <v>4.1213389121338917</v>
      </c>
      <c r="Q45" s="536">
        <v>3.0599999999999999E-2</v>
      </c>
      <c r="R45" s="536">
        <v>5.5100000000000003E-2</v>
      </c>
      <c r="S45" s="536">
        <v>8.2000000000000003E-2</v>
      </c>
      <c r="T45" s="536">
        <v>0.121</v>
      </c>
      <c r="U45" s="536">
        <v>0.4491</v>
      </c>
      <c r="V45" s="537">
        <v>20</v>
      </c>
      <c r="W45" s="410">
        <v>0.23076923076923078</v>
      </c>
      <c r="X45" s="410">
        <v>0.69230769230769229</v>
      </c>
      <c r="Y45" s="538">
        <v>158</v>
      </c>
      <c r="Z45" s="539">
        <v>0.80203045685279184</v>
      </c>
      <c r="AA45" s="540">
        <v>2</v>
      </c>
      <c r="AB45" s="540">
        <v>16</v>
      </c>
      <c r="AC45" s="540">
        <v>10</v>
      </c>
      <c r="AD45" s="540">
        <v>28</v>
      </c>
      <c r="AE45" s="541">
        <v>161</v>
      </c>
      <c r="AF45" s="542">
        <v>46.8</v>
      </c>
      <c r="AG45" s="543">
        <v>0.97907949790794979</v>
      </c>
      <c r="AH45" s="542">
        <v>53.8</v>
      </c>
      <c r="AI45" s="536">
        <v>0.88847583643122674</v>
      </c>
    </row>
    <row r="46" spans="1:35" s="112" customFormat="1" x14ac:dyDescent="0.25">
      <c r="A46" s="9" t="s">
        <v>50</v>
      </c>
      <c r="B46" s="15" t="s">
        <v>43</v>
      </c>
      <c r="C46" s="72">
        <v>345</v>
      </c>
      <c r="D46" s="529">
        <v>86.4</v>
      </c>
      <c r="E46" s="529">
        <v>14.8</v>
      </c>
      <c r="F46" s="530">
        <v>8.4</v>
      </c>
      <c r="G46" s="591">
        <v>3.4333327908496734</v>
      </c>
      <c r="H46" s="532">
        <v>3.5439996800000002</v>
      </c>
      <c r="I46" s="532">
        <v>3.4363635000000001</v>
      </c>
      <c r="J46" s="545">
        <v>161.40409207161125</v>
      </c>
      <c r="K46" s="546">
        <v>161.73529411764707</v>
      </c>
      <c r="L46" s="545">
        <v>160.78947368421052</v>
      </c>
      <c r="M46" s="535">
        <v>153.69309462915601</v>
      </c>
      <c r="N46" s="535">
        <v>156.52941176470588</v>
      </c>
      <c r="O46" s="535">
        <v>152.76315789473685</v>
      </c>
      <c r="P46" s="530">
        <v>4.2771084337349397</v>
      </c>
      <c r="Q46" s="536">
        <v>6.25E-2</v>
      </c>
      <c r="R46" s="536">
        <v>9.4600000000000004E-2</v>
      </c>
      <c r="S46" s="536">
        <v>2.3800000000000002E-2</v>
      </c>
      <c r="T46" s="536">
        <v>0.4224</v>
      </c>
      <c r="U46" s="536">
        <v>0.37930000000000003</v>
      </c>
      <c r="V46" s="537">
        <v>9</v>
      </c>
      <c r="W46" s="410">
        <v>0.6</v>
      </c>
      <c r="X46" s="410">
        <v>0.2</v>
      </c>
      <c r="Y46" s="538">
        <v>62</v>
      </c>
      <c r="Z46" s="539">
        <v>0.87323943661971826</v>
      </c>
      <c r="AA46" s="540">
        <v>4</v>
      </c>
      <c r="AB46" s="540">
        <v>14</v>
      </c>
      <c r="AC46" s="540">
        <v>6</v>
      </c>
      <c r="AD46" s="540">
        <v>24</v>
      </c>
      <c r="AE46" s="541">
        <v>58</v>
      </c>
      <c r="AF46" s="542">
        <v>16</v>
      </c>
      <c r="AG46" s="543">
        <v>0.96385542168674687</v>
      </c>
      <c r="AH46" s="542">
        <v>23.6</v>
      </c>
      <c r="AI46" s="536">
        <v>0.70338983050847459</v>
      </c>
    </row>
    <row r="47" spans="1:35" s="112" customFormat="1" x14ac:dyDescent="0.25">
      <c r="A47" s="9" t="s">
        <v>42</v>
      </c>
      <c r="B47" s="15" t="s">
        <v>43</v>
      </c>
      <c r="C47" s="72">
        <v>349</v>
      </c>
      <c r="D47" s="529">
        <v>198.2</v>
      </c>
      <c r="E47" s="529">
        <v>19</v>
      </c>
      <c r="F47" s="530">
        <v>10.4</v>
      </c>
      <c r="G47" s="591">
        <v>3.4517236896551728</v>
      </c>
      <c r="H47" s="532">
        <v>3.5384613461538459</v>
      </c>
      <c r="I47" s="532">
        <v>3.4566661999999999</v>
      </c>
      <c r="J47" s="545">
        <v>162.08284023668639</v>
      </c>
      <c r="K47" s="546">
        <v>162.31521739130434</v>
      </c>
      <c r="L47" s="545">
        <v>161.4814814814815</v>
      </c>
      <c r="M47" s="535">
        <v>152.71715976331362</v>
      </c>
      <c r="N47" s="535">
        <v>156</v>
      </c>
      <c r="O47" s="535">
        <v>154.18518518518519</v>
      </c>
      <c r="P47" s="530">
        <v>3.6315789473684212</v>
      </c>
      <c r="Q47" s="536">
        <v>3.0300000000000001E-2</v>
      </c>
      <c r="R47" s="536">
        <v>9.4700000000000006E-2</v>
      </c>
      <c r="S47" s="536">
        <v>9.6199999999999994E-2</v>
      </c>
      <c r="T47" s="536">
        <v>0.1953</v>
      </c>
      <c r="U47" s="536">
        <v>0.50729999999999997</v>
      </c>
      <c r="V47" s="537">
        <v>6</v>
      </c>
      <c r="W47" s="410">
        <v>0.4</v>
      </c>
      <c r="X47" s="410">
        <v>0.6</v>
      </c>
      <c r="Y47" s="538">
        <v>62</v>
      </c>
      <c r="Z47" s="539">
        <v>0.89855072463768115</v>
      </c>
      <c r="AA47" s="540">
        <v>2</v>
      </c>
      <c r="AB47" s="540">
        <v>36</v>
      </c>
      <c r="AC47" s="540">
        <v>15</v>
      </c>
      <c r="AD47" s="540">
        <v>53</v>
      </c>
      <c r="AE47" s="541">
        <v>69</v>
      </c>
      <c r="AF47" s="542">
        <v>19</v>
      </c>
      <c r="AG47" s="543">
        <v>1</v>
      </c>
      <c r="AH47" s="542">
        <v>19</v>
      </c>
      <c r="AI47" s="536">
        <v>1</v>
      </c>
    </row>
    <row r="48" spans="1:35" s="207" customFormat="1" ht="27.75" customHeight="1" x14ac:dyDescent="0.25">
      <c r="A48" s="143" t="s">
        <v>317</v>
      </c>
      <c r="B48" s="71" t="s">
        <v>43</v>
      </c>
      <c r="C48" s="123" t="s">
        <v>313</v>
      </c>
      <c r="D48" s="549">
        <v>208</v>
      </c>
      <c r="E48" s="549">
        <v>67.400000000000006</v>
      </c>
      <c r="F48" s="550">
        <v>20.8</v>
      </c>
      <c r="G48" s="592">
        <v>3.53</v>
      </c>
      <c r="H48" s="552">
        <v>3.56</v>
      </c>
      <c r="I48" s="552">
        <v>3.51</v>
      </c>
      <c r="J48" s="593">
        <v>161.8946</v>
      </c>
      <c r="K48" s="593">
        <v>161.8409786</v>
      </c>
      <c r="L48" s="593">
        <v>159.69</v>
      </c>
      <c r="M48" s="594">
        <v>150.59707724425888</v>
      </c>
      <c r="N48" s="595">
        <v>151.87461773700306</v>
      </c>
      <c r="O48" s="595">
        <v>151.88888888888889</v>
      </c>
      <c r="P48" s="550">
        <v>2.9613259668508287</v>
      </c>
      <c r="Q48" s="358">
        <v>3.27E-2</v>
      </c>
      <c r="R48" s="358">
        <v>5.9299999999999999E-2</v>
      </c>
      <c r="S48" s="358">
        <v>0.14419999999999999</v>
      </c>
      <c r="T48" s="358">
        <v>0.2853</v>
      </c>
      <c r="U48" s="358">
        <v>0.46629999999999999</v>
      </c>
      <c r="V48" s="556">
        <v>16</v>
      </c>
      <c r="W48" s="412">
        <v>0.7142857142857143</v>
      </c>
      <c r="X48" s="412">
        <v>0.14285714285714285</v>
      </c>
      <c r="Y48" s="557">
        <v>96</v>
      </c>
      <c r="Z48" s="558">
        <v>0.71641791044776115</v>
      </c>
      <c r="AA48" s="387">
        <v>24</v>
      </c>
      <c r="AB48" s="387">
        <v>41</v>
      </c>
      <c r="AC48" s="387">
        <v>25</v>
      </c>
      <c r="AD48" s="387">
        <v>90</v>
      </c>
      <c r="AE48" s="120">
        <v>136</v>
      </c>
      <c r="AF48" s="480">
        <v>40.25</v>
      </c>
      <c r="AG48" s="479">
        <v>0.88950276243093918</v>
      </c>
      <c r="AH48" s="480">
        <v>53.2</v>
      </c>
      <c r="AI48" s="358">
        <v>0.85056390977443608</v>
      </c>
    </row>
    <row r="49" spans="1:35" s="112" customFormat="1" x14ac:dyDescent="0.25">
      <c r="A49" s="9" t="s">
        <v>51</v>
      </c>
      <c r="B49" s="15" t="s">
        <v>43</v>
      </c>
      <c r="C49" s="72">
        <v>45</v>
      </c>
      <c r="D49" s="529">
        <v>214</v>
      </c>
      <c r="E49" s="529">
        <v>39.200000000000003</v>
      </c>
      <c r="F49" s="530">
        <v>16.2</v>
      </c>
      <c r="G49" s="582">
        <v>3.6256093902439019</v>
      </c>
      <c r="H49" s="532">
        <v>3.75</v>
      </c>
      <c r="I49" s="532">
        <v>3.7619045238095237</v>
      </c>
      <c r="J49" s="545">
        <v>163.17497348886533</v>
      </c>
      <c r="K49" s="546">
        <v>164.22448979591837</v>
      </c>
      <c r="L49" s="545">
        <v>163.72839506172841</v>
      </c>
      <c r="M49" s="535">
        <v>151.92470837751856</v>
      </c>
      <c r="N49" s="535">
        <v>155.13265306122449</v>
      </c>
      <c r="O49" s="535">
        <v>153.71604938271605</v>
      </c>
      <c r="P49" s="530">
        <v>3.2415902140672781</v>
      </c>
      <c r="Q49" s="536">
        <v>1.6799999999999999E-2</v>
      </c>
      <c r="R49" s="536">
        <v>2.5499999999999998E-2</v>
      </c>
      <c r="S49" s="536">
        <v>4.9399999999999999E-2</v>
      </c>
      <c r="T49" s="536">
        <v>0.18340000000000001</v>
      </c>
      <c r="U49" s="536">
        <v>0.74419999999999997</v>
      </c>
      <c r="V49" s="537">
        <v>2</v>
      </c>
      <c r="W49" s="410">
        <v>0.6</v>
      </c>
      <c r="X49" s="410">
        <v>0.4</v>
      </c>
      <c r="Y49" s="538">
        <v>95</v>
      </c>
      <c r="Z49" s="539">
        <v>0.89622641509433965</v>
      </c>
      <c r="AA49" s="540">
        <v>7</v>
      </c>
      <c r="AB49" s="540">
        <v>62</v>
      </c>
      <c r="AC49" s="540">
        <v>10</v>
      </c>
      <c r="AD49" s="540">
        <v>79</v>
      </c>
      <c r="AE49" s="541">
        <v>136</v>
      </c>
      <c r="AF49" s="542">
        <v>31.45</v>
      </c>
      <c r="AG49" s="543">
        <v>0.96177370030581033</v>
      </c>
      <c r="AH49" s="542">
        <v>33.700000000000003</v>
      </c>
      <c r="AI49" s="536">
        <v>0.97032640949554894</v>
      </c>
    </row>
    <row r="50" spans="1:35" s="112" customFormat="1" x14ac:dyDescent="0.25">
      <c r="A50" s="9" t="s">
        <v>48</v>
      </c>
      <c r="B50" s="15" t="s">
        <v>43</v>
      </c>
      <c r="C50" s="72">
        <v>56</v>
      </c>
      <c r="D50" s="529">
        <v>528.20000000000005</v>
      </c>
      <c r="E50" s="529">
        <v>224.2</v>
      </c>
      <c r="F50" s="530">
        <v>56.8</v>
      </c>
      <c r="G50" s="596">
        <v>3.6137163716814156</v>
      </c>
      <c r="H50" s="532">
        <v>3.6207310975609754</v>
      </c>
      <c r="I50" s="532">
        <v>3.6065215434782609</v>
      </c>
      <c r="J50" s="545">
        <v>163.46976552858905</v>
      </c>
      <c r="K50" s="546">
        <v>163.94575045207958</v>
      </c>
      <c r="L50" s="545">
        <v>162.29310344827587</v>
      </c>
      <c r="M50" s="535">
        <v>153.14273961332785</v>
      </c>
      <c r="N50" s="535">
        <v>155.63381555153708</v>
      </c>
      <c r="O50" s="535">
        <v>155.0344827586207</v>
      </c>
      <c r="P50" s="530">
        <v>4.7653429602888089</v>
      </c>
      <c r="Q50" s="536">
        <v>1.67E-2</v>
      </c>
      <c r="R50" s="536">
        <v>2.5000000000000001E-2</v>
      </c>
      <c r="S50" s="536">
        <v>6.3399999999999998E-2</v>
      </c>
      <c r="T50" s="536">
        <v>0.16600000000000001</v>
      </c>
      <c r="U50" s="536">
        <v>0.67020000000000002</v>
      </c>
      <c r="V50" s="537">
        <v>17</v>
      </c>
      <c r="W50" s="410">
        <v>0.25</v>
      </c>
      <c r="X50" s="410">
        <v>0.75</v>
      </c>
      <c r="Y50" s="538">
        <v>150</v>
      </c>
      <c r="Z50" s="539">
        <v>0.75757575757575757</v>
      </c>
      <c r="AA50" s="540">
        <v>13</v>
      </c>
      <c r="AB50" s="540">
        <v>76</v>
      </c>
      <c r="AC50" s="540">
        <v>30</v>
      </c>
      <c r="AD50" s="540">
        <v>119</v>
      </c>
      <c r="AE50" s="541">
        <v>199</v>
      </c>
      <c r="AF50" s="542">
        <v>39.549999999999997</v>
      </c>
      <c r="AG50" s="543">
        <v>0.95186522262334539</v>
      </c>
      <c r="AH50" s="542">
        <v>49.9</v>
      </c>
      <c r="AI50" s="536">
        <v>0.83266533066132264</v>
      </c>
    </row>
    <row r="51" spans="1:35" s="112" customFormat="1" x14ac:dyDescent="0.25">
      <c r="A51" s="9" t="s">
        <v>46</v>
      </c>
      <c r="B51" s="15" t="s">
        <v>43</v>
      </c>
      <c r="C51" s="72">
        <v>83</v>
      </c>
      <c r="D51" s="529">
        <v>175.2</v>
      </c>
      <c r="E51" s="529">
        <v>21</v>
      </c>
      <c r="F51" s="530">
        <v>12.6</v>
      </c>
      <c r="G51" s="596">
        <v>3.6115940289855071</v>
      </c>
      <c r="H51" s="532">
        <v>3.7478258695652173</v>
      </c>
      <c r="I51" s="532">
        <v>3.7363636363636363</v>
      </c>
      <c r="J51" s="545">
        <v>163.1741357234315</v>
      </c>
      <c r="K51" s="546">
        <v>164.08653846153845</v>
      </c>
      <c r="L51" s="545">
        <v>164.01587301587301</v>
      </c>
      <c r="M51" s="535">
        <v>149.75416133162611</v>
      </c>
      <c r="N51" s="535">
        <v>149.95192307692307</v>
      </c>
      <c r="O51" s="535">
        <v>148.07936507936509</v>
      </c>
      <c r="P51" s="530">
        <v>3.4090909090909092</v>
      </c>
      <c r="Q51" s="536">
        <v>1.7100000000000001E-2</v>
      </c>
      <c r="R51" s="536">
        <v>2.86E-2</v>
      </c>
      <c r="S51" s="536">
        <v>1.5900000000000001E-2</v>
      </c>
      <c r="T51" s="536">
        <v>0.30609999999999998</v>
      </c>
      <c r="U51" s="536">
        <v>0.81630000000000003</v>
      </c>
      <c r="V51" s="537">
        <v>1</v>
      </c>
      <c r="W51" s="410">
        <v>1</v>
      </c>
      <c r="X51" s="410">
        <v>0</v>
      </c>
      <c r="Y51" s="538">
        <v>42</v>
      </c>
      <c r="Z51" s="539">
        <v>0.93333333333333335</v>
      </c>
      <c r="AA51" s="540">
        <v>13</v>
      </c>
      <c r="AB51" s="540">
        <v>11</v>
      </c>
      <c r="AC51" s="540">
        <v>8</v>
      </c>
      <c r="AD51" s="540">
        <v>32</v>
      </c>
      <c r="AE51" s="541">
        <v>46</v>
      </c>
      <c r="AF51" s="542">
        <v>13.2</v>
      </c>
      <c r="AG51" s="543">
        <v>1</v>
      </c>
      <c r="AH51" s="542">
        <v>16.7</v>
      </c>
      <c r="AI51" s="536">
        <v>0.79041916167664672</v>
      </c>
    </row>
    <row r="52" spans="1:35" s="112" customFormat="1" x14ac:dyDescent="0.25">
      <c r="A52" s="9" t="s">
        <v>318</v>
      </c>
      <c r="B52" s="15" t="s">
        <v>43</v>
      </c>
      <c r="C52" s="72" t="s">
        <v>315</v>
      </c>
      <c r="D52" s="529">
        <v>289.2</v>
      </c>
      <c r="E52" s="529">
        <v>75</v>
      </c>
      <c r="F52" s="530">
        <v>25.6</v>
      </c>
      <c r="G52" s="596">
        <v>3.52</v>
      </c>
      <c r="H52" s="532">
        <v>3.59</v>
      </c>
      <c r="I52" s="532">
        <v>3.5</v>
      </c>
      <c r="J52" s="597">
        <v>161.48496240601503</v>
      </c>
      <c r="K52" s="597">
        <v>161.26273458445041</v>
      </c>
      <c r="L52" s="597">
        <v>159.93076923076924</v>
      </c>
      <c r="M52" s="598">
        <v>152.5</v>
      </c>
      <c r="N52" s="598">
        <v>156.85254691689008</v>
      </c>
      <c r="O52" s="598">
        <v>156.03076923076924</v>
      </c>
      <c r="P52" s="530">
        <v>4.8696319018404912</v>
      </c>
      <c r="Q52" s="536">
        <v>5.1900000000000002E-2</v>
      </c>
      <c r="R52" s="536">
        <v>0.1147</v>
      </c>
      <c r="S52" s="536">
        <v>0.1875</v>
      </c>
      <c r="T52" s="536">
        <v>0.17549999999999999</v>
      </c>
      <c r="U52" s="536">
        <v>0.38319999999999999</v>
      </c>
      <c r="V52" s="537">
        <v>18</v>
      </c>
      <c r="W52" s="410">
        <v>0.5</v>
      </c>
      <c r="X52" s="410">
        <v>0.44444444444444442</v>
      </c>
      <c r="Y52" s="538">
        <v>112</v>
      </c>
      <c r="Z52" s="539">
        <v>0.88188976377952755</v>
      </c>
      <c r="AA52" s="540">
        <v>2</v>
      </c>
      <c r="AB52" s="540">
        <v>65</v>
      </c>
      <c r="AC52" s="540">
        <v>64</v>
      </c>
      <c r="AD52" s="540">
        <v>131</v>
      </c>
      <c r="AE52" s="541">
        <v>198</v>
      </c>
      <c r="AF52" s="542">
        <v>25.8</v>
      </c>
      <c r="AG52" s="543">
        <v>0.98926380368098166</v>
      </c>
      <c r="AH52" s="542">
        <v>32.08</v>
      </c>
      <c r="AI52" s="536">
        <v>0.81296758104738154</v>
      </c>
    </row>
    <row r="53" spans="1:35" x14ac:dyDescent="0.25">
      <c r="A53" s="9" t="s">
        <v>72</v>
      </c>
      <c r="B53" s="15" t="s">
        <v>52</v>
      </c>
      <c r="C53" s="72">
        <v>341</v>
      </c>
      <c r="D53" s="529">
        <v>12.2</v>
      </c>
      <c r="E53" s="529">
        <v>4.5999999999999996</v>
      </c>
      <c r="F53" s="530">
        <v>2.2000000000000002</v>
      </c>
      <c r="G53" s="633">
        <v>3.6611106666666666</v>
      </c>
      <c r="H53" s="532">
        <v>3.7473683157894735</v>
      </c>
      <c r="I53" s="532">
        <v>3.8333331111111111</v>
      </c>
      <c r="J53" s="545">
        <v>149.95238095238096</v>
      </c>
      <c r="K53" s="546">
        <v>150.11764705882354</v>
      </c>
      <c r="L53" s="545">
        <v>149.75</v>
      </c>
      <c r="M53" s="545">
        <v>156.4047619047619</v>
      </c>
      <c r="N53" s="545">
        <v>157.88235294117646</v>
      </c>
      <c r="O53" s="545">
        <v>159.75</v>
      </c>
      <c r="P53" s="530">
        <v>0.84337349397590367</v>
      </c>
      <c r="Q53" s="536">
        <v>9.8400000000000001E-2</v>
      </c>
      <c r="R53" s="536">
        <v>0</v>
      </c>
      <c r="S53" s="536">
        <v>0</v>
      </c>
      <c r="T53" s="536">
        <v>0.72289999999999999</v>
      </c>
      <c r="U53" s="536">
        <v>8.43E-2</v>
      </c>
      <c r="V53" s="537">
        <v>5</v>
      </c>
      <c r="W53" s="410">
        <v>0</v>
      </c>
      <c r="X53" s="410">
        <v>0</v>
      </c>
      <c r="Y53" s="538">
        <v>17</v>
      </c>
      <c r="Z53" s="539">
        <v>0.80952380952380953</v>
      </c>
      <c r="AA53" s="540">
        <v>6</v>
      </c>
      <c r="AB53" s="540">
        <v>0</v>
      </c>
      <c r="AC53" s="540">
        <v>0</v>
      </c>
      <c r="AD53" s="540">
        <v>6</v>
      </c>
      <c r="AE53" s="541">
        <v>7</v>
      </c>
      <c r="AF53" s="542">
        <v>24.9</v>
      </c>
      <c r="AG53" s="543">
        <v>1</v>
      </c>
      <c r="AH53" s="542">
        <v>29.93</v>
      </c>
      <c r="AI53" s="536">
        <v>0.83194119612428996</v>
      </c>
    </row>
    <row r="54" spans="1:35" s="112" customFormat="1" x14ac:dyDescent="0.25">
      <c r="A54" s="9" t="s">
        <v>326</v>
      </c>
      <c r="B54" s="15" t="s">
        <v>52</v>
      </c>
      <c r="C54" s="72" t="s">
        <v>115</v>
      </c>
      <c r="D54" s="529">
        <v>24.6</v>
      </c>
      <c r="E54" s="529">
        <v>11</v>
      </c>
      <c r="F54" s="530">
        <v>7.8</v>
      </c>
      <c r="G54" s="589">
        <v>3.5987012467532473</v>
      </c>
      <c r="H54" s="589">
        <v>3.6374999000000003</v>
      </c>
      <c r="I54" s="589">
        <v>3.5964285357142858</v>
      </c>
      <c r="J54" s="545">
        <v>148.47826086956522</v>
      </c>
      <c r="K54" s="546">
        <v>148.4</v>
      </c>
      <c r="L54" s="545">
        <v>149.05882352941177</v>
      </c>
      <c r="M54" s="535">
        <v>151.67391304347825</v>
      </c>
      <c r="N54" s="535">
        <v>154.08000000000001</v>
      </c>
      <c r="O54" s="535">
        <v>154.05882352941177</v>
      </c>
      <c r="P54" s="530">
        <v>1.3559322033898304</v>
      </c>
      <c r="Q54" s="536">
        <v>7.3200000000000001E-2</v>
      </c>
      <c r="R54" s="536">
        <v>7.2700000000000001E-2</v>
      </c>
      <c r="S54" s="536">
        <v>5.1299999999999998E-2</v>
      </c>
      <c r="T54" s="536">
        <v>0.35780000000000001</v>
      </c>
      <c r="U54" s="536">
        <v>0.1716</v>
      </c>
      <c r="V54" s="537">
        <v>2</v>
      </c>
      <c r="W54" s="410">
        <v>1</v>
      </c>
      <c r="X54" s="410">
        <v>0</v>
      </c>
      <c r="Y54" s="538">
        <v>33</v>
      </c>
      <c r="Z54" s="539">
        <v>0.82499999999999996</v>
      </c>
      <c r="AA54" s="540">
        <v>23</v>
      </c>
      <c r="AB54" s="540">
        <v>2</v>
      </c>
      <c r="AC54" s="540">
        <v>0</v>
      </c>
      <c r="AD54" s="540">
        <v>25</v>
      </c>
      <c r="AE54" s="541">
        <v>31</v>
      </c>
      <c r="AF54" s="542">
        <v>29.5</v>
      </c>
      <c r="AG54" s="543">
        <v>1</v>
      </c>
      <c r="AH54" s="542">
        <v>36</v>
      </c>
      <c r="AI54" s="536">
        <v>0.81944444444444442</v>
      </c>
    </row>
    <row r="55" spans="1:35" s="112" customFormat="1" x14ac:dyDescent="0.25">
      <c r="A55" s="9" t="s">
        <v>53</v>
      </c>
      <c r="B55" s="15" t="s">
        <v>54</v>
      </c>
      <c r="C55" s="72">
        <v>77</v>
      </c>
      <c r="D55" s="529">
        <v>89.4</v>
      </c>
      <c r="E55" s="529">
        <v>22.6</v>
      </c>
      <c r="F55" s="530">
        <v>14</v>
      </c>
      <c r="G55" s="599">
        <v>3.46</v>
      </c>
      <c r="H55" s="600">
        <v>3.55</v>
      </c>
      <c r="I55" s="600">
        <v>3.5</v>
      </c>
      <c r="J55" s="545">
        <v>153.20547945205479</v>
      </c>
      <c r="K55" s="546">
        <v>154.21428571428572</v>
      </c>
      <c r="L55" s="545">
        <v>153.91891891891891</v>
      </c>
      <c r="M55" s="535">
        <v>152.81095890410958</v>
      </c>
      <c r="N55" s="535">
        <v>154.1875</v>
      </c>
      <c r="O55" s="535">
        <v>154.13513513513513</v>
      </c>
      <c r="P55" s="530">
        <v>1.9235573320009991</v>
      </c>
      <c r="Q55" s="536">
        <v>0.1051</v>
      </c>
      <c r="R55" s="536">
        <v>8.8499999999999995E-2</v>
      </c>
      <c r="S55" s="536">
        <v>0.1143</v>
      </c>
      <c r="T55" s="536">
        <v>0.4345</v>
      </c>
      <c r="U55" s="536">
        <v>0.39560000000000001</v>
      </c>
      <c r="V55" s="564">
        <v>6</v>
      </c>
      <c r="W55" s="411">
        <v>0.33333333333333331</v>
      </c>
      <c r="X55" s="411">
        <v>0.66666666666666663</v>
      </c>
      <c r="Y55" s="565">
        <v>69</v>
      </c>
      <c r="Z55" s="539">
        <v>0.89610389610389607</v>
      </c>
      <c r="AA55" s="540">
        <v>34</v>
      </c>
      <c r="AB55" s="540">
        <v>3</v>
      </c>
      <c r="AC55" s="540">
        <v>20</v>
      </c>
      <c r="AD55" s="540">
        <v>57</v>
      </c>
      <c r="AE55" s="541">
        <v>73</v>
      </c>
      <c r="AF55" s="542">
        <v>39.03</v>
      </c>
      <c r="AG55" s="543">
        <v>0.97501873594803901</v>
      </c>
      <c r="AH55" s="542">
        <v>50.03</v>
      </c>
      <c r="AI55" s="536">
        <v>0.80011992804317411</v>
      </c>
    </row>
    <row r="56" spans="1:35" s="112" customFormat="1" x14ac:dyDescent="0.25">
      <c r="A56" s="9" t="s">
        <v>55</v>
      </c>
      <c r="B56" s="15" t="s">
        <v>56</v>
      </c>
      <c r="C56" s="72">
        <v>92</v>
      </c>
      <c r="D56" s="529">
        <v>75</v>
      </c>
      <c r="E56" s="529">
        <v>27.8</v>
      </c>
      <c r="F56" s="530">
        <v>10.6</v>
      </c>
      <c r="G56" s="601">
        <v>3.5</v>
      </c>
      <c r="H56" s="602">
        <v>3.54</v>
      </c>
      <c r="I56" s="602">
        <v>3.48</v>
      </c>
      <c r="J56" s="545">
        <v>151.77134146341464</v>
      </c>
      <c r="K56" s="546">
        <v>153.29197080291971</v>
      </c>
      <c r="L56" s="545">
        <v>151.26415094339623</v>
      </c>
      <c r="M56" s="535">
        <v>156.07621951219511</v>
      </c>
      <c r="N56" s="535">
        <v>159.16058394160584</v>
      </c>
      <c r="O56" s="535">
        <v>158.77358490566039</v>
      </c>
      <c r="P56" s="530">
        <v>1.7027027027027026</v>
      </c>
      <c r="Q56" s="536">
        <v>8.7999999999999995E-2</v>
      </c>
      <c r="R56" s="536">
        <v>6.4699999999999994E-2</v>
      </c>
      <c r="S56" s="536">
        <v>9.4299999999999995E-2</v>
      </c>
      <c r="T56" s="536">
        <v>0.67630000000000001</v>
      </c>
      <c r="U56" s="536">
        <v>0.45660000000000001</v>
      </c>
      <c r="V56" s="564">
        <v>7</v>
      </c>
      <c r="W56" s="411">
        <v>0</v>
      </c>
      <c r="X56" s="411">
        <v>1</v>
      </c>
      <c r="Y56" s="565">
        <v>51</v>
      </c>
      <c r="Z56" s="539">
        <v>0.80952380952380953</v>
      </c>
      <c r="AA56" s="540">
        <v>57</v>
      </c>
      <c r="AB56" s="540">
        <v>7</v>
      </c>
      <c r="AC56" s="540">
        <v>0</v>
      </c>
      <c r="AD56" s="540">
        <v>64</v>
      </c>
      <c r="AE56" s="541">
        <v>76</v>
      </c>
      <c r="AF56" s="542">
        <v>37</v>
      </c>
      <c r="AG56" s="543">
        <v>1</v>
      </c>
      <c r="AH56" s="542">
        <v>46</v>
      </c>
      <c r="AI56" s="536">
        <v>0.80434782608695654</v>
      </c>
    </row>
    <row r="57" spans="1:35" x14ac:dyDescent="0.25">
      <c r="A57" s="9" t="s">
        <v>59</v>
      </c>
      <c r="B57" s="15" t="s">
        <v>60</v>
      </c>
      <c r="C57" s="72">
        <v>105</v>
      </c>
      <c r="D57" s="529">
        <v>14.4</v>
      </c>
      <c r="E57" s="529">
        <v>6</v>
      </c>
      <c r="F57" s="530">
        <v>4.5999999999999996</v>
      </c>
      <c r="G57" s="603">
        <v>3.66</v>
      </c>
      <c r="H57" s="604">
        <v>3.75</v>
      </c>
      <c r="I57" s="604">
        <v>3.72</v>
      </c>
      <c r="J57" s="545">
        <v>147.13461538461539</v>
      </c>
      <c r="K57" s="546">
        <v>146.15384615384616</v>
      </c>
      <c r="L57" s="545">
        <v>146</v>
      </c>
      <c r="M57" s="535">
        <v>150.23076923076923</v>
      </c>
      <c r="N57" s="535">
        <v>152.5</v>
      </c>
      <c r="O57" s="535">
        <v>153.36363636363637</v>
      </c>
      <c r="P57" s="530">
        <v>2.0060790273556233</v>
      </c>
      <c r="Q57" s="536">
        <v>9.7199999999999995E-2</v>
      </c>
      <c r="R57" s="536">
        <v>0.1</v>
      </c>
      <c r="S57" s="536">
        <v>0</v>
      </c>
      <c r="T57" s="536">
        <v>0.91020000000000001</v>
      </c>
      <c r="U57" s="536">
        <v>2.9899999999999999E-2</v>
      </c>
      <c r="V57" s="564">
        <v>1</v>
      </c>
      <c r="W57" s="411">
        <v>1</v>
      </c>
      <c r="X57" s="411">
        <v>0</v>
      </c>
      <c r="Y57" s="565">
        <v>5</v>
      </c>
      <c r="Z57" s="539">
        <v>0.15151515151515152</v>
      </c>
      <c r="AA57" s="540">
        <v>10</v>
      </c>
      <c r="AB57" s="540">
        <v>13</v>
      </c>
      <c r="AC57" s="540">
        <v>2</v>
      </c>
      <c r="AD57" s="540">
        <v>25</v>
      </c>
      <c r="AE57" s="541">
        <v>24</v>
      </c>
      <c r="AF57" s="542">
        <v>10.45</v>
      </c>
      <c r="AG57" s="543">
        <v>0.63525835866261393</v>
      </c>
      <c r="AH57" s="542">
        <v>45.75</v>
      </c>
      <c r="AI57" s="536">
        <v>0.35956284153005463</v>
      </c>
    </row>
    <row r="58" spans="1:35" x14ac:dyDescent="0.25">
      <c r="A58" s="9" t="s">
        <v>61</v>
      </c>
      <c r="B58" s="15" t="s">
        <v>62</v>
      </c>
      <c r="C58" s="72">
        <v>107</v>
      </c>
      <c r="D58" s="529">
        <v>205.4</v>
      </c>
      <c r="E58" s="529">
        <v>21.2</v>
      </c>
      <c r="F58" s="530">
        <v>17.8</v>
      </c>
      <c r="G58" s="605">
        <v>3.36</v>
      </c>
      <c r="H58" s="606">
        <v>3.49</v>
      </c>
      <c r="I58" s="606">
        <v>3.48</v>
      </c>
      <c r="J58" s="545">
        <v>158.53971962616822</v>
      </c>
      <c r="K58" s="590">
        <v>157.26732673267327</v>
      </c>
      <c r="L58" s="545">
        <v>156.93478260869566</v>
      </c>
      <c r="M58" s="535">
        <v>151.97546728971963</v>
      </c>
      <c r="N58" s="535">
        <v>153.20792079207922</v>
      </c>
      <c r="O58" s="535">
        <v>152.39130434782609</v>
      </c>
      <c r="P58" s="530">
        <v>1.9090909090909092</v>
      </c>
      <c r="Q58" s="536">
        <v>3.9899999999999998E-2</v>
      </c>
      <c r="R58" s="536">
        <v>6.6000000000000003E-2</v>
      </c>
      <c r="S58" s="536">
        <v>5.62E-2</v>
      </c>
      <c r="T58" s="536">
        <v>0.53810000000000002</v>
      </c>
      <c r="U58" s="536">
        <v>0.61170000000000002</v>
      </c>
      <c r="V58" s="564">
        <v>2</v>
      </c>
      <c r="W58" s="411">
        <v>0.25</v>
      </c>
      <c r="X58" s="411">
        <v>0.5</v>
      </c>
      <c r="Y58" s="565">
        <v>64</v>
      </c>
      <c r="Z58" s="539">
        <v>0.76190476190476186</v>
      </c>
      <c r="AA58" s="540">
        <v>9</v>
      </c>
      <c r="AB58" s="540">
        <v>32</v>
      </c>
      <c r="AC58" s="540">
        <v>28</v>
      </c>
      <c r="AD58" s="540">
        <v>69</v>
      </c>
      <c r="AE58" s="541">
        <v>77</v>
      </c>
      <c r="AF58" s="542">
        <v>33</v>
      </c>
      <c r="AG58" s="543">
        <v>0.75</v>
      </c>
      <c r="AH58" s="542">
        <v>86.25</v>
      </c>
      <c r="AI58" s="536">
        <v>0.51014492753623186</v>
      </c>
    </row>
    <row r="59" spans="1:35" x14ac:dyDescent="0.25">
      <c r="A59" s="9" t="s">
        <v>22</v>
      </c>
      <c r="B59" s="15" t="s">
        <v>167</v>
      </c>
      <c r="C59" s="72" t="s">
        <v>165</v>
      </c>
      <c r="D59" s="529">
        <v>11.8</v>
      </c>
      <c r="E59" s="529">
        <v>5.6</v>
      </c>
      <c r="F59" s="530">
        <v>4</v>
      </c>
      <c r="G59" s="607">
        <v>3.56</v>
      </c>
      <c r="H59" s="608">
        <v>3.69</v>
      </c>
      <c r="I59" s="608">
        <v>3.68</v>
      </c>
      <c r="J59" s="545">
        <v>150.95652173913044</v>
      </c>
      <c r="K59" s="546">
        <v>149.33333333333334</v>
      </c>
      <c r="L59" s="545">
        <v>148.89473684210526</v>
      </c>
      <c r="M59" s="535">
        <v>151.45652173913044</v>
      </c>
      <c r="N59" s="535">
        <v>150.74074074074073</v>
      </c>
      <c r="O59" s="535">
        <v>148.89473684210526</v>
      </c>
      <c r="P59" s="530">
        <v>1.8803418803418805</v>
      </c>
      <c r="Q59" s="536">
        <v>0.1525</v>
      </c>
      <c r="R59" s="536">
        <v>0.1429</v>
      </c>
      <c r="S59" s="536">
        <v>0.2</v>
      </c>
      <c r="T59" s="536">
        <v>0.81820000000000004</v>
      </c>
      <c r="U59" s="536">
        <v>0.37330000000000002</v>
      </c>
      <c r="V59" s="537">
        <v>6</v>
      </c>
      <c r="W59" s="410">
        <v>0</v>
      </c>
      <c r="X59" s="410">
        <v>1</v>
      </c>
      <c r="Y59" s="538">
        <v>17</v>
      </c>
      <c r="Z59" s="539">
        <v>0.77272727272727271</v>
      </c>
      <c r="AA59" s="540">
        <v>10</v>
      </c>
      <c r="AB59" s="540">
        <v>1</v>
      </c>
      <c r="AC59" s="540">
        <v>3</v>
      </c>
      <c r="AD59" s="540">
        <v>14</v>
      </c>
      <c r="AE59" s="541">
        <v>16</v>
      </c>
      <c r="AF59" s="542">
        <v>9.6999999999999993</v>
      </c>
      <c r="AG59" s="543">
        <v>0.829059829059829</v>
      </c>
      <c r="AH59" s="542">
        <v>31.4</v>
      </c>
      <c r="AI59" s="536">
        <v>0.37261146496815284</v>
      </c>
    </row>
    <row r="60" spans="1:35" x14ac:dyDescent="0.25">
      <c r="A60" s="9" t="s">
        <v>65</v>
      </c>
      <c r="B60" s="15" t="s">
        <v>63</v>
      </c>
      <c r="C60" s="72">
        <v>79</v>
      </c>
      <c r="D60" s="529">
        <v>17.600000000000001</v>
      </c>
      <c r="E60" s="529">
        <v>4.2</v>
      </c>
      <c r="F60" s="530">
        <v>2.8</v>
      </c>
      <c r="G60" s="609">
        <v>3.44</v>
      </c>
      <c r="H60" s="610">
        <v>3.42</v>
      </c>
      <c r="I60" s="610">
        <v>3.44</v>
      </c>
      <c r="J60" s="545">
        <v>153.359375</v>
      </c>
      <c r="K60" s="546">
        <v>153.72222222222223</v>
      </c>
      <c r="L60" s="545">
        <v>152</v>
      </c>
      <c r="M60" s="535">
        <v>151.546875</v>
      </c>
      <c r="N60" s="535">
        <v>155.72222222222223</v>
      </c>
      <c r="O60" s="535">
        <v>153.46153846153845</v>
      </c>
      <c r="P60" s="530">
        <v>4</v>
      </c>
      <c r="Q60" s="536">
        <v>9.0899999999999995E-2</v>
      </c>
      <c r="R60" s="536">
        <v>0.1429</v>
      </c>
      <c r="S60" s="536">
        <v>0.21429999999999999</v>
      </c>
      <c r="T60" s="536">
        <v>0.46789999999999998</v>
      </c>
      <c r="U60" s="536">
        <v>0.2661</v>
      </c>
      <c r="V60" s="537">
        <v>4</v>
      </c>
      <c r="W60" s="410">
        <v>0.5</v>
      </c>
      <c r="X60" s="410">
        <v>0.5</v>
      </c>
      <c r="Y60" s="538">
        <v>10</v>
      </c>
      <c r="Z60" s="539">
        <v>0.58823529411764708</v>
      </c>
      <c r="AA60" s="540">
        <v>6</v>
      </c>
      <c r="AB60" s="540">
        <v>6</v>
      </c>
      <c r="AC60" s="540">
        <v>4</v>
      </c>
      <c r="AD60" s="540">
        <v>16</v>
      </c>
      <c r="AE60" s="541">
        <v>16</v>
      </c>
      <c r="AF60" s="542">
        <v>4.25</v>
      </c>
      <c r="AG60" s="543">
        <v>1</v>
      </c>
      <c r="AH60" s="542">
        <v>5.25</v>
      </c>
      <c r="AI60" s="536">
        <v>0.80952380952380953</v>
      </c>
    </row>
    <row r="61" spans="1:35" x14ac:dyDescent="0.25">
      <c r="A61" s="9" t="s">
        <v>23</v>
      </c>
      <c r="B61" s="15" t="s">
        <v>63</v>
      </c>
      <c r="C61" s="72">
        <v>115</v>
      </c>
      <c r="D61" s="529">
        <v>327.60000000000002</v>
      </c>
      <c r="E61" s="529">
        <v>16.8</v>
      </c>
      <c r="F61" s="530">
        <v>15.2</v>
      </c>
      <c r="G61" s="611">
        <v>3.64</v>
      </c>
      <c r="H61" s="612">
        <v>3.75</v>
      </c>
      <c r="I61" s="612">
        <v>3.75</v>
      </c>
      <c r="J61" s="545">
        <v>152.61418347430057</v>
      </c>
      <c r="K61" s="546">
        <v>154.71428571428572</v>
      </c>
      <c r="L61" s="545">
        <v>154.97826086956522</v>
      </c>
      <c r="M61" s="535">
        <v>156.98568640208197</v>
      </c>
      <c r="N61" s="535">
        <v>160.4047619047619</v>
      </c>
      <c r="O61" s="535">
        <v>159.57608695652175</v>
      </c>
      <c r="P61" s="530">
        <v>3.5021097046413505</v>
      </c>
      <c r="Q61" s="536">
        <v>0.1862</v>
      </c>
      <c r="R61" s="536">
        <v>0.25</v>
      </c>
      <c r="S61" s="536">
        <v>0.23680000000000001</v>
      </c>
      <c r="T61" s="536">
        <v>0.73450000000000004</v>
      </c>
      <c r="U61" s="536">
        <v>1.49E-2</v>
      </c>
      <c r="V61" s="537">
        <v>18</v>
      </c>
      <c r="W61" s="410">
        <v>0</v>
      </c>
      <c r="X61" s="410">
        <v>1</v>
      </c>
      <c r="Y61" s="538">
        <v>63</v>
      </c>
      <c r="Z61" s="539">
        <v>0.75903614457831325</v>
      </c>
      <c r="AA61" s="540">
        <v>8</v>
      </c>
      <c r="AB61" s="540">
        <v>5</v>
      </c>
      <c r="AC61" s="540">
        <v>26</v>
      </c>
      <c r="AD61" s="540">
        <v>39</v>
      </c>
      <c r="AE61" s="541">
        <v>70</v>
      </c>
      <c r="AF61" s="542">
        <v>14.85</v>
      </c>
      <c r="AG61" s="543">
        <v>0.62658227848101267</v>
      </c>
      <c r="AH61" s="542">
        <v>29.7</v>
      </c>
      <c r="AI61" s="536">
        <v>0.79797979797979801</v>
      </c>
    </row>
    <row r="62" spans="1:35" x14ac:dyDescent="0.25">
      <c r="A62" s="9" t="s">
        <v>64</v>
      </c>
      <c r="B62" s="15" t="s">
        <v>63</v>
      </c>
      <c r="C62" s="72">
        <v>120</v>
      </c>
      <c r="D62" s="529">
        <v>23.4</v>
      </c>
      <c r="E62" s="529">
        <v>6.8</v>
      </c>
      <c r="F62" s="530">
        <v>6.2</v>
      </c>
      <c r="G62" s="613">
        <v>3.44</v>
      </c>
      <c r="H62" s="614">
        <v>3.45</v>
      </c>
      <c r="I62" s="614">
        <v>3.45</v>
      </c>
      <c r="J62" s="545">
        <v>152.29591836734693</v>
      </c>
      <c r="K62" s="546">
        <v>152.5151515151515</v>
      </c>
      <c r="L62" s="545">
        <v>152.67567567567568</v>
      </c>
      <c r="M62" s="535">
        <v>151.40816326530611</v>
      </c>
      <c r="N62" s="535">
        <v>154.5151515151515</v>
      </c>
      <c r="O62" s="535">
        <v>154.29729729729729</v>
      </c>
      <c r="P62" s="530">
        <v>2.5037936267071319</v>
      </c>
      <c r="Q62" s="536">
        <v>0.1197</v>
      </c>
      <c r="R62" s="536">
        <v>0.17649999999999999</v>
      </c>
      <c r="S62" s="536">
        <v>0.19350000000000001</v>
      </c>
      <c r="T62" s="536">
        <v>0.53400000000000003</v>
      </c>
      <c r="U62" s="536">
        <v>0.43459999999999999</v>
      </c>
      <c r="V62" s="537">
        <v>4</v>
      </c>
      <c r="W62" s="410">
        <v>0.5</v>
      </c>
      <c r="X62" s="410">
        <v>0.5</v>
      </c>
      <c r="Y62" s="538">
        <v>25</v>
      </c>
      <c r="Z62" s="539">
        <v>0.75757575757575757</v>
      </c>
      <c r="AA62" s="540">
        <v>7</v>
      </c>
      <c r="AB62" s="540">
        <v>9</v>
      </c>
      <c r="AC62" s="540">
        <v>10</v>
      </c>
      <c r="AD62" s="540">
        <v>26</v>
      </c>
      <c r="AE62" s="541">
        <v>39</v>
      </c>
      <c r="AF62" s="542">
        <v>8.86</v>
      </c>
      <c r="AG62" s="543">
        <v>0.67223065250379355</v>
      </c>
      <c r="AH62" s="542">
        <v>24.33</v>
      </c>
      <c r="AI62" s="536">
        <v>0.541718043567612</v>
      </c>
    </row>
    <row r="63" spans="1:35" x14ac:dyDescent="0.25">
      <c r="A63" s="9" t="s">
        <v>66</v>
      </c>
      <c r="B63" s="15" t="s">
        <v>67</v>
      </c>
      <c r="C63" s="72">
        <v>137</v>
      </c>
      <c r="D63" s="529">
        <v>19</v>
      </c>
      <c r="E63" s="529">
        <v>6.8</v>
      </c>
      <c r="F63" s="530">
        <v>5.6</v>
      </c>
      <c r="G63" s="615">
        <v>3.56</v>
      </c>
      <c r="H63" s="616">
        <v>3.59</v>
      </c>
      <c r="I63" s="616">
        <v>3.59</v>
      </c>
      <c r="J63" s="545">
        <v>156.61194029850745</v>
      </c>
      <c r="K63" s="546">
        <v>153.63636363636363</v>
      </c>
      <c r="L63" s="545">
        <v>153.55000000000001</v>
      </c>
      <c r="M63" s="535">
        <v>153.23880597014926</v>
      </c>
      <c r="N63" s="535">
        <v>153.18181818181819</v>
      </c>
      <c r="O63" s="535">
        <v>153.85</v>
      </c>
      <c r="P63" s="530">
        <v>0.40050062578222778</v>
      </c>
      <c r="Q63" s="536">
        <v>3.1600000000000003E-2</v>
      </c>
      <c r="R63" s="536">
        <v>0</v>
      </c>
      <c r="S63" s="536">
        <v>0</v>
      </c>
      <c r="T63" s="536">
        <v>0.69440000000000002</v>
      </c>
      <c r="U63" s="536">
        <v>0.33329999999999999</v>
      </c>
      <c r="V63" s="564">
        <v>2</v>
      </c>
      <c r="W63" s="411">
        <v>0</v>
      </c>
      <c r="X63" s="411">
        <v>1</v>
      </c>
      <c r="Y63" s="565">
        <v>27</v>
      </c>
      <c r="Z63" s="539">
        <v>0.84375</v>
      </c>
      <c r="AA63" s="540">
        <v>5</v>
      </c>
      <c r="AB63" s="540">
        <v>4</v>
      </c>
      <c r="AC63" s="540">
        <v>4</v>
      </c>
      <c r="AD63" s="540">
        <v>13</v>
      </c>
      <c r="AE63" s="541">
        <v>42</v>
      </c>
      <c r="AF63" s="542">
        <v>60.42</v>
      </c>
      <c r="AG63" s="543">
        <v>0.75619524405506877</v>
      </c>
      <c r="AH63" s="542">
        <v>126.41</v>
      </c>
      <c r="AI63" s="536">
        <v>0.63207024760699315</v>
      </c>
    </row>
    <row r="64" spans="1:35" x14ac:dyDescent="0.25">
      <c r="A64" s="183"/>
      <c r="B64" s="184"/>
      <c r="C64" s="185"/>
      <c r="D64" s="617"/>
      <c r="E64" s="617"/>
      <c r="F64" s="618"/>
      <c r="G64" s="618"/>
      <c r="H64" s="618"/>
      <c r="I64" s="618"/>
      <c r="J64" s="619"/>
      <c r="K64" s="619"/>
      <c r="L64" s="619"/>
      <c r="M64" s="619"/>
      <c r="N64" s="619"/>
      <c r="O64" s="619"/>
      <c r="P64" s="619"/>
      <c r="Q64" s="620"/>
      <c r="R64" s="620"/>
      <c r="S64" s="620"/>
      <c r="T64" s="620"/>
      <c r="U64" s="620"/>
      <c r="V64" s="621"/>
      <c r="W64" s="413"/>
      <c r="X64" s="413"/>
      <c r="Y64" s="622"/>
      <c r="Z64" s="622"/>
      <c r="AA64" s="623"/>
      <c r="AB64" s="623"/>
      <c r="AC64" s="623"/>
      <c r="AD64" s="623"/>
      <c r="AE64" s="622"/>
      <c r="AF64" s="624"/>
      <c r="AG64" s="625"/>
      <c r="AH64" s="660"/>
      <c r="AI64" s="626"/>
    </row>
    <row r="65" spans="1:35" s="112" customFormat="1" x14ac:dyDescent="0.25">
      <c r="A65" s="1"/>
      <c r="B65" s="7"/>
      <c r="C65" s="113"/>
      <c r="D65" s="627"/>
      <c r="E65" s="627"/>
      <c r="F65" s="530"/>
      <c r="G65" s="530"/>
      <c r="H65" s="530"/>
      <c r="I65" s="530"/>
      <c r="J65" s="530"/>
      <c r="K65" s="530"/>
      <c r="L65" s="530"/>
      <c r="M65" s="530"/>
      <c r="N65" s="530"/>
      <c r="O65" s="530"/>
      <c r="P65" s="530"/>
      <c r="Q65" s="628"/>
      <c r="R65" s="628"/>
      <c r="S65" s="628"/>
      <c r="T65" s="628"/>
      <c r="U65" s="628"/>
      <c r="V65" s="564"/>
      <c r="W65" s="411"/>
      <c r="X65" s="411"/>
      <c r="Y65" s="565"/>
      <c r="Z65" s="565"/>
      <c r="AA65" s="540"/>
      <c r="AB65" s="540"/>
      <c r="AC65" s="540"/>
      <c r="AD65" s="540"/>
      <c r="AE65" s="541"/>
      <c r="AF65" s="629"/>
      <c r="AG65" s="630"/>
      <c r="AH65" s="629"/>
      <c r="AI65" s="536"/>
    </row>
    <row r="66" spans="1:35" s="112" customFormat="1" x14ac:dyDescent="0.25">
      <c r="A66" s="1"/>
      <c r="B66" s="7"/>
      <c r="C66" s="113"/>
      <c r="D66" s="627"/>
      <c r="E66" s="627"/>
      <c r="F66" s="530"/>
      <c r="G66" s="530"/>
      <c r="H66" s="530"/>
      <c r="I66" s="530"/>
      <c r="J66" s="530"/>
      <c r="K66" s="530"/>
      <c r="L66" s="530"/>
      <c r="M66" s="530"/>
      <c r="N66" s="530"/>
      <c r="O66" s="530"/>
      <c r="P66" s="530"/>
      <c r="Q66" s="628"/>
      <c r="R66" s="628"/>
      <c r="S66" s="628"/>
      <c r="T66" s="628"/>
      <c r="U66" s="628"/>
      <c r="V66" s="564"/>
      <c r="W66" s="411"/>
      <c r="X66" s="411"/>
      <c r="Y66" s="565"/>
      <c r="Z66" s="565"/>
      <c r="AA66" s="540"/>
      <c r="AB66" s="540"/>
      <c r="AC66" s="540"/>
      <c r="AD66" s="540"/>
      <c r="AE66" s="541"/>
      <c r="AF66" s="629"/>
      <c r="AG66" s="630"/>
      <c r="AH66" s="629"/>
      <c r="AI66" s="536"/>
    </row>
    <row r="67" spans="1:35" x14ac:dyDescent="0.25">
      <c r="A67" s="712" t="s">
        <v>68</v>
      </c>
      <c r="B67" s="7"/>
      <c r="C67" s="113"/>
      <c r="D67" s="627"/>
      <c r="E67" s="627"/>
      <c r="F67" s="530"/>
      <c r="G67" s="530"/>
      <c r="H67" s="530"/>
      <c r="I67" s="530"/>
      <c r="J67" s="530"/>
      <c r="K67" s="530"/>
      <c r="L67" s="530"/>
      <c r="M67" s="530"/>
      <c r="N67" s="530"/>
      <c r="O67" s="530"/>
      <c r="P67" s="530"/>
      <c r="Q67" s="628"/>
      <c r="R67" s="628"/>
      <c r="S67" s="628"/>
      <c r="T67" s="628"/>
      <c r="U67" s="628"/>
      <c r="V67" s="564"/>
      <c r="W67" s="411"/>
      <c r="X67" s="411"/>
      <c r="Y67" s="565"/>
      <c r="Z67" s="565"/>
      <c r="AA67" s="540"/>
      <c r="AB67" s="540"/>
      <c r="AC67" s="540"/>
      <c r="AD67" s="540"/>
      <c r="AE67" s="541"/>
      <c r="AF67" s="629"/>
      <c r="AG67" s="630"/>
      <c r="AH67" s="629"/>
      <c r="AI67" s="536"/>
    </row>
    <row r="68" spans="1:35" x14ac:dyDescent="0.25">
      <c r="A68" s="27" t="s">
        <v>86</v>
      </c>
      <c r="B68" s="15" t="s">
        <v>5</v>
      </c>
      <c r="C68" s="72">
        <v>519</v>
      </c>
      <c r="D68" s="753" t="s">
        <v>273</v>
      </c>
      <c r="E68" s="753" t="s">
        <v>273</v>
      </c>
      <c r="F68" s="753" t="s">
        <v>273</v>
      </c>
      <c r="G68" s="753" t="s">
        <v>273</v>
      </c>
      <c r="H68" s="753" t="s">
        <v>273</v>
      </c>
      <c r="I68" s="753" t="s">
        <v>273</v>
      </c>
      <c r="J68" s="753" t="s">
        <v>273</v>
      </c>
      <c r="K68" s="753" t="s">
        <v>273</v>
      </c>
      <c r="L68" s="753" t="s">
        <v>273</v>
      </c>
      <c r="M68" s="753" t="s">
        <v>273</v>
      </c>
      <c r="N68" s="753" t="s">
        <v>273</v>
      </c>
      <c r="O68" s="753" t="s">
        <v>273</v>
      </c>
      <c r="P68" s="753" t="s">
        <v>273</v>
      </c>
      <c r="Q68" s="753" t="s">
        <v>273</v>
      </c>
      <c r="R68" s="753" t="s">
        <v>273</v>
      </c>
      <c r="S68" s="753" t="s">
        <v>273</v>
      </c>
      <c r="T68" s="536">
        <v>0.61799999999999999</v>
      </c>
      <c r="U68" s="536">
        <v>0.50560000000000005</v>
      </c>
      <c r="V68" s="537">
        <v>2</v>
      </c>
      <c r="W68" s="410" t="s">
        <v>273</v>
      </c>
      <c r="X68" s="410" t="s">
        <v>273</v>
      </c>
      <c r="Y68" s="538">
        <v>18</v>
      </c>
      <c r="Z68" s="631">
        <v>0.72</v>
      </c>
      <c r="AA68" s="540">
        <v>1</v>
      </c>
      <c r="AB68" s="540">
        <v>1</v>
      </c>
      <c r="AC68" s="540">
        <v>5</v>
      </c>
      <c r="AD68" s="540">
        <v>7</v>
      </c>
      <c r="AE68" s="541">
        <v>13</v>
      </c>
      <c r="AF68" s="755" t="s">
        <v>273</v>
      </c>
      <c r="AG68" s="755" t="s">
        <v>273</v>
      </c>
      <c r="AH68" s="755" t="s">
        <v>273</v>
      </c>
      <c r="AI68" s="755" t="s">
        <v>273</v>
      </c>
    </row>
    <row r="69" spans="1:35" x14ac:dyDescent="0.25">
      <c r="A69" s="27" t="s">
        <v>87</v>
      </c>
      <c r="B69" s="15" t="s">
        <v>63</v>
      </c>
      <c r="C69" s="72">
        <v>501</v>
      </c>
      <c r="D69" s="529">
        <v>24.8</v>
      </c>
      <c r="E69" s="529">
        <v>3.2</v>
      </c>
      <c r="F69" s="530">
        <v>2.2000000000000002</v>
      </c>
      <c r="G69" s="635">
        <v>3.3470584705882351</v>
      </c>
      <c r="H69" s="635">
        <v>3.45</v>
      </c>
      <c r="I69" s="635">
        <v>3.45</v>
      </c>
      <c r="J69" s="545">
        <v>162.35238095238094</v>
      </c>
      <c r="K69" s="546">
        <v>165.07692307692307</v>
      </c>
      <c r="L69" s="545">
        <v>165.27272727272728</v>
      </c>
      <c r="M69" s="545">
        <v>152.35238095238094</v>
      </c>
      <c r="N69" s="545">
        <v>157.92307692307693</v>
      </c>
      <c r="O69" s="545">
        <v>156.27272727272728</v>
      </c>
      <c r="P69" s="530">
        <v>1.1428571428571428</v>
      </c>
      <c r="Q69" s="536">
        <v>3.2300000000000002E-2</v>
      </c>
      <c r="R69" s="536">
        <v>6.25E-2</v>
      </c>
      <c r="S69" s="536">
        <v>9.0899999999999995E-2</v>
      </c>
      <c r="T69" s="536">
        <v>0.47270000000000001</v>
      </c>
      <c r="U69" s="536">
        <v>0.69089999999999996</v>
      </c>
      <c r="V69" s="537">
        <v>1</v>
      </c>
      <c r="W69" s="410" t="s">
        <v>273</v>
      </c>
      <c r="X69" s="410" t="s">
        <v>273</v>
      </c>
      <c r="Y69" s="538">
        <v>15</v>
      </c>
      <c r="Z69" s="631">
        <v>0.9375</v>
      </c>
      <c r="AA69" s="540">
        <v>0</v>
      </c>
      <c r="AB69" s="540">
        <v>1</v>
      </c>
      <c r="AC69" s="540">
        <v>1</v>
      </c>
      <c r="AD69" s="540">
        <v>2</v>
      </c>
      <c r="AE69" s="541">
        <v>2</v>
      </c>
      <c r="AF69" s="542">
        <v>8</v>
      </c>
      <c r="AG69" s="543">
        <v>0.5714285714285714</v>
      </c>
      <c r="AH69" s="542">
        <v>15</v>
      </c>
      <c r="AI69" s="536">
        <v>0.93333333333333335</v>
      </c>
    </row>
    <row r="70" spans="1:35" x14ac:dyDescent="0.25">
      <c r="A70" s="140" t="s">
        <v>168</v>
      </c>
      <c r="B70" s="15" t="s">
        <v>63</v>
      </c>
      <c r="C70" s="72">
        <v>116</v>
      </c>
      <c r="D70" s="529">
        <v>10.8</v>
      </c>
      <c r="E70" s="529">
        <v>4.4000000000000004</v>
      </c>
      <c r="F70" s="530">
        <v>2.6</v>
      </c>
      <c r="G70" s="566">
        <v>3.5333326666666665</v>
      </c>
      <c r="H70" s="532">
        <v>3.4888888888888889</v>
      </c>
      <c r="I70" s="532">
        <v>3.5571425714285714</v>
      </c>
      <c r="J70" s="545">
        <v>152.05405405405406</v>
      </c>
      <c r="K70" s="546">
        <v>153.80000000000001</v>
      </c>
      <c r="L70" s="545">
        <v>150.41666666666666</v>
      </c>
      <c r="M70" s="545">
        <v>149.43243243243242</v>
      </c>
      <c r="N70" s="545">
        <v>151.19999999999999</v>
      </c>
      <c r="O70" s="545">
        <v>149.5</v>
      </c>
      <c r="P70" s="530">
        <v>2.4305555555555554</v>
      </c>
      <c r="Q70" s="536">
        <v>0.1852</v>
      </c>
      <c r="R70" s="536">
        <v>4.5499999999999999E-2</v>
      </c>
      <c r="S70" s="536">
        <v>7.6899999999999996E-2</v>
      </c>
      <c r="T70" s="536">
        <v>0.68830000000000002</v>
      </c>
      <c r="U70" s="536">
        <v>0.1948</v>
      </c>
      <c r="V70" s="537">
        <v>9</v>
      </c>
      <c r="W70" s="410" t="s">
        <v>273</v>
      </c>
      <c r="X70" s="410" t="s">
        <v>273</v>
      </c>
      <c r="Y70" s="538">
        <v>29</v>
      </c>
      <c r="Z70" s="631">
        <v>0.82857142857142863</v>
      </c>
      <c r="AA70" s="540">
        <v>1</v>
      </c>
      <c r="AB70" s="540">
        <v>0</v>
      </c>
      <c r="AC70" s="540">
        <v>0</v>
      </c>
      <c r="AD70" s="540">
        <v>1</v>
      </c>
      <c r="AE70" s="541">
        <v>1</v>
      </c>
      <c r="AF70" s="542">
        <v>10</v>
      </c>
      <c r="AG70" s="543">
        <v>0.69444444444444442</v>
      </c>
      <c r="AH70" s="542">
        <v>16.399999999999999</v>
      </c>
      <c r="AI70" s="536">
        <v>0.87804878048780499</v>
      </c>
    </row>
    <row r="71" spans="1:35" x14ac:dyDescent="0.25">
      <c r="A71" s="256"/>
      <c r="B71" s="297"/>
      <c r="C71" s="273"/>
      <c r="D71" s="372"/>
      <c r="E71" s="372"/>
      <c r="F71" s="373"/>
      <c r="G71" s="373"/>
      <c r="H71" s="373"/>
      <c r="I71" s="373"/>
      <c r="J71" s="373"/>
      <c r="K71" s="373"/>
      <c r="L71" s="373"/>
      <c r="M71" s="637"/>
      <c r="N71" s="637"/>
      <c r="O71" s="637"/>
      <c r="P71" s="530"/>
      <c r="Q71" s="638"/>
      <c r="R71" s="638"/>
      <c r="S71" s="639"/>
      <c r="T71" s="639"/>
      <c r="U71" s="639"/>
      <c r="V71" s="640"/>
      <c r="W71" s="414"/>
      <c r="X71" s="414"/>
      <c r="Y71" s="639"/>
      <c r="Z71" s="631"/>
      <c r="AA71" s="641"/>
      <c r="AB71" s="641"/>
      <c r="AC71" s="641"/>
      <c r="AD71" s="540"/>
      <c r="AE71" s="639"/>
      <c r="AF71" s="542"/>
      <c r="AG71" s="543"/>
      <c r="AH71" s="542"/>
      <c r="AI71" s="536"/>
    </row>
    <row r="72" spans="1:35" x14ac:dyDescent="0.25">
      <c r="A72" s="705" t="s">
        <v>95</v>
      </c>
      <c r="B72" s="7"/>
      <c r="C72" s="113"/>
      <c r="D72" s="529"/>
      <c r="E72" s="529"/>
      <c r="F72" s="530"/>
      <c r="G72" s="530"/>
      <c r="H72" s="530"/>
      <c r="I72" s="530"/>
      <c r="J72" s="530"/>
      <c r="K72" s="530"/>
      <c r="L72" s="530"/>
      <c r="M72" s="632"/>
      <c r="N72" s="632"/>
      <c r="O72" s="632"/>
      <c r="P72" s="530"/>
      <c r="Q72" s="541"/>
      <c r="R72" s="541"/>
      <c r="S72" s="639"/>
      <c r="T72" s="639"/>
      <c r="U72" s="639"/>
      <c r="V72" s="640"/>
      <c r="W72" s="414"/>
      <c r="X72" s="414"/>
      <c r="Y72" s="639"/>
      <c r="Z72" s="631"/>
      <c r="AA72" s="641"/>
      <c r="AB72" s="641"/>
      <c r="AC72" s="641"/>
      <c r="AD72" s="540"/>
      <c r="AE72" s="639"/>
      <c r="AF72" s="542"/>
      <c r="AG72" s="543"/>
      <c r="AH72" s="542"/>
      <c r="AI72" s="536"/>
    </row>
    <row r="73" spans="1:35" x14ac:dyDescent="0.25">
      <c r="A73" s="115" t="s">
        <v>145</v>
      </c>
      <c r="B73" s="15" t="s">
        <v>5</v>
      </c>
      <c r="C73" s="72">
        <v>84</v>
      </c>
      <c r="D73" s="529">
        <v>27.8</v>
      </c>
      <c r="E73" s="529">
        <v>9.1999999999999993</v>
      </c>
      <c r="F73" s="530">
        <v>7.8</v>
      </c>
      <c r="G73" s="373">
        <v>3.5271183559321999</v>
      </c>
      <c r="H73" s="373">
        <v>3.6411764705882352</v>
      </c>
      <c r="I73" s="373">
        <v>3.6153843846153846</v>
      </c>
      <c r="J73" s="545">
        <v>152.27678571428572</v>
      </c>
      <c r="K73" s="546">
        <v>152.45454545454547</v>
      </c>
      <c r="L73" s="545">
        <v>151.76315789473685</v>
      </c>
      <c r="M73" s="545">
        <v>153.96428571428572</v>
      </c>
      <c r="N73" s="545">
        <v>154.56818181818181</v>
      </c>
      <c r="O73" s="545">
        <v>153.26315789473685</v>
      </c>
      <c r="P73" s="530">
        <v>74</v>
      </c>
      <c r="Q73" s="536">
        <v>0.1007</v>
      </c>
      <c r="R73" s="536">
        <v>8.6999999999999994E-2</v>
      </c>
      <c r="S73" s="536">
        <v>0.1026</v>
      </c>
      <c r="T73" s="536">
        <v>0.55010000000000003</v>
      </c>
      <c r="U73" s="536">
        <v>0.3427</v>
      </c>
      <c r="V73" s="537">
        <v>8</v>
      </c>
      <c r="W73" s="410">
        <v>0</v>
      </c>
      <c r="X73" s="410">
        <v>1</v>
      </c>
      <c r="Y73" s="538">
        <v>46</v>
      </c>
      <c r="Z73" s="631">
        <v>0.6216216216216216</v>
      </c>
      <c r="AA73" s="540">
        <v>14</v>
      </c>
      <c r="AB73" s="540">
        <v>21</v>
      </c>
      <c r="AC73" s="540">
        <v>30</v>
      </c>
      <c r="AD73" s="540">
        <v>65</v>
      </c>
      <c r="AE73" s="541">
        <v>74</v>
      </c>
      <c r="AF73" s="542">
        <v>1</v>
      </c>
      <c r="AG73" s="543">
        <v>1</v>
      </c>
      <c r="AH73" s="542">
        <v>1.5</v>
      </c>
      <c r="AI73" s="536">
        <v>0.66666666666666663</v>
      </c>
    </row>
    <row r="74" spans="1:35" x14ac:dyDescent="0.25">
      <c r="A74" s="115" t="s">
        <v>7</v>
      </c>
      <c r="B74" s="15" t="s">
        <v>5</v>
      </c>
      <c r="C74" s="72">
        <v>112</v>
      </c>
      <c r="D74" s="529">
        <v>54.4</v>
      </c>
      <c r="E74" s="529">
        <v>6.8</v>
      </c>
      <c r="F74" s="530">
        <v>5.6</v>
      </c>
      <c r="G74" s="635">
        <v>3.4239996399999999</v>
      </c>
      <c r="H74" s="532">
        <v>3.5666662000000002</v>
      </c>
      <c r="I74" s="532">
        <v>3.5545449090909091</v>
      </c>
      <c r="J74" s="545">
        <v>160.27916666666667</v>
      </c>
      <c r="K74" s="546">
        <v>156.85294117647058</v>
      </c>
      <c r="L74" s="545">
        <v>156.66666666666666</v>
      </c>
      <c r="M74" s="545">
        <v>152.76666666666668</v>
      </c>
      <c r="N74" s="545">
        <v>152.91176470588235</v>
      </c>
      <c r="O74" s="545">
        <v>152.63333333333333</v>
      </c>
      <c r="P74" s="753" t="s">
        <v>273</v>
      </c>
      <c r="Q74" s="642">
        <v>3.7000000000000002E-3</v>
      </c>
      <c r="R74" s="642">
        <v>0</v>
      </c>
      <c r="S74" s="642">
        <v>0</v>
      </c>
      <c r="T74" s="642">
        <v>0.46829999999999999</v>
      </c>
      <c r="U74" s="642">
        <v>0.55559999999999998</v>
      </c>
      <c r="V74" s="643">
        <v>2</v>
      </c>
      <c r="W74" s="415" t="s">
        <v>273</v>
      </c>
      <c r="X74" s="415" t="s">
        <v>273</v>
      </c>
      <c r="Y74" s="644">
        <v>26</v>
      </c>
      <c r="Z74" s="631">
        <v>0.96296296296296291</v>
      </c>
      <c r="AA74" s="645">
        <v>1</v>
      </c>
      <c r="AB74" s="645">
        <v>2</v>
      </c>
      <c r="AC74" s="645">
        <v>12</v>
      </c>
      <c r="AD74" s="540">
        <v>15</v>
      </c>
      <c r="AE74" s="646">
        <v>15</v>
      </c>
      <c r="AF74" s="755" t="s">
        <v>273</v>
      </c>
      <c r="AG74" s="755" t="s">
        <v>273</v>
      </c>
      <c r="AH74" s="755" t="s">
        <v>273</v>
      </c>
      <c r="AI74" s="755" t="s">
        <v>273</v>
      </c>
    </row>
    <row r="75" spans="1:35" x14ac:dyDescent="0.25">
      <c r="A75" s="9" t="s">
        <v>69</v>
      </c>
      <c r="B75" s="15" t="s">
        <v>5</v>
      </c>
      <c r="C75" s="72">
        <v>474</v>
      </c>
      <c r="D75" s="647">
        <v>4</v>
      </c>
      <c r="E75" s="647">
        <v>2</v>
      </c>
      <c r="F75" s="647">
        <v>1.8</v>
      </c>
      <c r="G75" s="596">
        <v>3.1</v>
      </c>
      <c r="H75" s="532">
        <v>3.1</v>
      </c>
      <c r="I75" s="532">
        <v>3.1</v>
      </c>
      <c r="J75" s="545">
        <v>154.9</v>
      </c>
      <c r="K75" s="546">
        <v>153.4</v>
      </c>
      <c r="L75" s="545">
        <v>152.22222222222223</v>
      </c>
      <c r="M75" s="545">
        <v>149.69999999999999</v>
      </c>
      <c r="N75" s="545">
        <v>150.9</v>
      </c>
      <c r="O75" s="545">
        <v>150.33333333333334</v>
      </c>
      <c r="P75" s="753" t="s">
        <v>273</v>
      </c>
      <c r="Q75" s="536">
        <v>0.05</v>
      </c>
      <c r="R75" s="536">
        <v>0.1</v>
      </c>
      <c r="S75" s="536">
        <v>0.1111</v>
      </c>
      <c r="T75" s="536">
        <v>0.59319999999999995</v>
      </c>
      <c r="U75" s="536">
        <v>0.59319999999999995</v>
      </c>
      <c r="V75" s="537">
        <v>2</v>
      </c>
      <c r="W75" s="415" t="s">
        <v>273</v>
      </c>
      <c r="X75" s="415" t="s">
        <v>273</v>
      </c>
      <c r="Y75" s="538">
        <v>7</v>
      </c>
      <c r="Z75" s="631">
        <v>0.58333333333333337</v>
      </c>
      <c r="AA75" s="540">
        <v>2</v>
      </c>
      <c r="AB75" s="540">
        <v>1</v>
      </c>
      <c r="AC75" s="540">
        <v>9</v>
      </c>
      <c r="AD75" s="540">
        <v>12</v>
      </c>
      <c r="AE75" s="541">
        <v>17</v>
      </c>
      <c r="AF75" s="755" t="s">
        <v>273</v>
      </c>
      <c r="AG75" s="755" t="s">
        <v>273</v>
      </c>
      <c r="AH75" s="755" t="s">
        <v>273</v>
      </c>
      <c r="AI75" s="755" t="s">
        <v>273</v>
      </c>
    </row>
    <row r="76" spans="1:35" x14ac:dyDescent="0.25">
      <c r="A76" s="27" t="s">
        <v>86</v>
      </c>
      <c r="B76" s="15" t="s">
        <v>5</v>
      </c>
      <c r="C76" s="72">
        <v>519</v>
      </c>
      <c r="D76" s="753" t="s">
        <v>273</v>
      </c>
      <c r="E76" s="753" t="s">
        <v>273</v>
      </c>
      <c r="F76" s="753" t="s">
        <v>273</v>
      </c>
      <c r="G76" s="753" t="s">
        <v>273</v>
      </c>
      <c r="H76" s="753" t="s">
        <v>273</v>
      </c>
      <c r="I76" s="753" t="s">
        <v>273</v>
      </c>
      <c r="J76" s="753" t="s">
        <v>273</v>
      </c>
      <c r="K76" s="753" t="s">
        <v>273</v>
      </c>
      <c r="L76" s="753" t="s">
        <v>273</v>
      </c>
      <c r="M76" s="753" t="s">
        <v>273</v>
      </c>
      <c r="N76" s="753" t="s">
        <v>273</v>
      </c>
      <c r="O76" s="753" t="s">
        <v>273</v>
      </c>
      <c r="P76" s="753" t="s">
        <v>273</v>
      </c>
      <c r="Q76" s="753" t="s">
        <v>273</v>
      </c>
      <c r="R76" s="753" t="s">
        <v>273</v>
      </c>
      <c r="S76" s="753" t="s">
        <v>273</v>
      </c>
      <c r="T76" s="536">
        <v>0.61799999999999999</v>
      </c>
      <c r="U76" s="536">
        <v>0.50560000000000005</v>
      </c>
      <c r="V76" s="537">
        <v>2</v>
      </c>
      <c r="W76" s="415" t="s">
        <v>273</v>
      </c>
      <c r="X76" s="415" t="s">
        <v>273</v>
      </c>
      <c r="Y76" s="538">
        <v>18</v>
      </c>
      <c r="Z76" s="631">
        <v>0.72</v>
      </c>
      <c r="AA76" s="540">
        <v>1</v>
      </c>
      <c r="AB76" s="540">
        <v>1</v>
      </c>
      <c r="AC76" s="540">
        <v>5</v>
      </c>
      <c r="AD76" s="540">
        <v>7</v>
      </c>
      <c r="AE76" s="541">
        <v>13</v>
      </c>
      <c r="AF76" s="755" t="s">
        <v>273</v>
      </c>
      <c r="AG76" s="755" t="s">
        <v>273</v>
      </c>
      <c r="AH76" s="755" t="s">
        <v>273</v>
      </c>
      <c r="AI76" s="755" t="s">
        <v>273</v>
      </c>
    </row>
    <row r="77" spans="1:35" x14ac:dyDescent="0.25">
      <c r="A77" s="9" t="s">
        <v>94</v>
      </c>
      <c r="B77" s="15" t="s">
        <v>58</v>
      </c>
      <c r="C77" s="72">
        <v>492</v>
      </c>
      <c r="D77" s="529">
        <v>22.6</v>
      </c>
      <c r="E77" s="529">
        <v>7.6</v>
      </c>
      <c r="F77" s="530">
        <v>5.6</v>
      </c>
      <c r="G77" s="648">
        <v>3.5057140571428569</v>
      </c>
      <c r="H77" s="532">
        <v>3.55499995</v>
      </c>
      <c r="I77" s="532">
        <v>3.5071428571428571</v>
      </c>
      <c r="J77" s="545">
        <v>157.66666666666666</v>
      </c>
      <c r="K77" s="546">
        <v>156.89473684210526</v>
      </c>
      <c r="L77" s="545">
        <v>156.41379310344828</v>
      </c>
      <c r="M77" s="545">
        <v>153.35483870967741</v>
      </c>
      <c r="N77" s="545">
        <v>155.44736842105263</v>
      </c>
      <c r="O77" s="545">
        <v>154.72413793103448</v>
      </c>
      <c r="P77" s="753" t="s">
        <v>273</v>
      </c>
      <c r="Q77" s="536">
        <v>6.1899999999999997E-2</v>
      </c>
      <c r="R77" s="536">
        <v>5.2600000000000001E-2</v>
      </c>
      <c r="S77" s="536">
        <v>7.1400000000000005E-2</v>
      </c>
      <c r="T77" s="536">
        <v>0.4365</v>
      </c>
      <c r="U77" s="536">
        <v>0.54759999999999998</v>
      </c>
      <c r="V77" s="537">
        <v>3</v>
      </c>
      <c r="W77" s="415" t="s">
        <v>273</v>
      </c>
      <c r="X77" s="415" t="s">
        <v>273</v>
      </c>
      <c r="Y77" s="538">
        <v>25</v>
      </c>
      <c r="Z77" s="631">
        <v>0.96153846153846156</v>
      </c>
      <c r="AA77" s="540">
        <v>1</v>
      </c>
      <c r="AB77" s="540">
        <v>1</v>
      </c>
      <c r="AC77" s="540">
        <v>4</v>
      </c>
      <c r="AD77" s="540">
        <v>6</v>
      </c>
      <c r="AE77" s="634">
        <v>6</v>
      </c>
      <c r="AF77" s="755" t="s">
        <v>273</v>
      </c>
      <c r="AG77" s="755" t="s">
        <v>273</v>
      </c>
      <c r="AH77" s="755" t="s">
        <v>273</v>
      </c>
      <c r="AI77" s="755" t="s">
        <v>273</v>
      </c>
    </row>
    <row r="78" spans="1:35" x14ac:dyDescent="0.25">
      <c r="A78" s="9" t="s">
        <v>57</v>
      </c>
      <c r="B78" s="15" t="s">
        <v>58</v>
      </c>
      <c r="C78" s="72">
        <v>97</v>
      </c>
      <c r="D78" s="649">
        <v>320.2</v>
      </c>
      <c r="E78" s="649">
        <v>68.599999999999994</v>
      </c>
      <c r="F78" s="650">
        <v>41.2</v>
      </c>
      <c r="G78" s="635">
        <v>3.4348741426684279</v>
      </c>
      <c r="H78" s="532">
        <v>3.560447485074627</v>
      </c>
      <c r="I78" s="532">
        <v>3.5390408561643838</v>
      </c>
      <c r="J78" s="545">
        <v>156.87002253944402</v>
      </c>
      <c r="K78" s="546">
        <v>155.63525835866261</v>
      </c>
      <c r="L78" s="545">
        <v>155.05213270142181</v>
      </c>
      <c r="M78" s="545">
        <v>154.46055597295268</v>
      </c>
      <c r="N78" s="545">
        <v>155.48024316109422</v>
      </c>
      <c r="O78" s="545">
        <v>154.61611374407582</v>
      </c>
      <c r="P78" s="530">
        <v>0.67505151708946209</v>
      </c>
      <c r="Q78" s="536">
        <v>0.1187</v>
      </c>
      <c r="R78" s="536">
        <v>0.1399</v>
      </c>
      <c r="S78" s="536">
        <v>0.13589999999999999</v>
      </c>
      <c r="T78" s="536">
        <v>0.56889999999999996</v>
      </c>
      <c r="U78" s="548">
        <v>0.30590000000000001</v>
      </c>
      <c r="V78" s="537">
        <v>24</v>
      </c>
      <c r="W78" s="410">
        <v>0.3</v>
      </c>
      <c r="X78" s="410">
        <v>0.7</v>
      </c>
      <c r="Y78" s="538">
        <v>185</v>
      </c>
      <c r="Z78" s="631">
        <v>0.97368421052631582</v>
      </c>
      <c r="AA78" s="540">
        <v>10</v>
      </c>
      <c r="AB78" s="540">
        <v>29</v>
      </c>
      <c r="AC78" s="540">
        <v>168</v>
      </c>
      <c r="AD78" s="540">
        <v>207</v>
      </c>
      <c r="AE78" s="541">
        <v>230</v>
      </c>
      <c r="AF78" s="651">
        <v>243.31</v>
      </c>
      <c r="AG78" s="543">
        <v>0.86445676117387915</v>
      </c>
      <c r="AH78" s="542">
        <v>1117.5999999999999</v>
      </c>
      <c r="AI78" s="536">
        <v>0.25184323550465282</v>
      </c>
    </row>
    <row r="79" spans="1:35" x14ac:dyDescent="0.25">
      <c r="A79" s="27" t="s">
        <v>85</v>
      </c>
      <c r="B79" s="15" t="s">
        <v>88</v>
      </c>
      <c r="C79" s="72">
        <v>455</v>
      </c>
      <c r="D79" s="529">
        <v>20</v>
      </c>
      <c r="E79" s="529">
        <v>3.2</v>
      </c>
      <c r="F79" s="530">
        <v>3</v>
      </c>
      <c r="G79" s="648">
        <v>3.2608695217391306</v>
      </c>
      <c r="H79" s="532">
        <v>3.3874997499999999</v>
      </c>
      <c r="I79" s="532">
        <v>3.3874997499999999</v>
      </c>
      <c r="J79" s="545">
        <v>155.87012987012986</v>
      </c>
      <c r="K79" s="546">
        <v>153.80000000000001</v>
      </c>
      <c r="L79" s="545">
        <v>154.16666666666666</v>
      </c>
      <c r="M79" s="636">
        <v>152.65</v>
      </c>
      <c r="N79" s="636">
        <v>155.19999999999999</v>
      </c>
      <c r="O79" s="636">
        <v>155.94</v>
      </c>
      <c r="P79" s="754" t="s">
        <v>273</v>
      </c>
      <c r="Q79" s="536">
        <v>0.15</v>
      </c>
      <c r="R79" s="536">
        <v>0.25</v>
      </c>
      <c r="S79" s="536">
        <v>0.26669999999999999</v>
      </c>
      <c r="T79" s="536">
        <v>0.57609999999999995</v>
      </c>
      <c r="U79" s="536">
        <v>0.28260000000000002</v>
      </c>
      <c r="V79" s="564">
        <v>4</v>
      </c>
      <c r="W79" s="411" t="s">
        <v>273</v>
      </c>
      <c r="X79" s="411" t="s">
        <v>273</v>
      </c>
      <c r="Y79" s="541">
        <v>19</v>
      </c>
      <c r="Z79" s="631">
        <v>0.79166666666666663</v>
      </c>
      <c r="AA79" s="540">
        <v>1</v>
      </c>
      <c r="AB79" s="540">
        <v>1</v>
      </c>
      <c r="AC79" s="540">
        <v>1</v>
      </c>
      <c r="AD79" s="540">
        <v>3</v>
      </c>
      <c r="AE79" s="541">
        <v>3</v>
      </c>
      <c r="AF79" s="755" t="s">
        <v>273</v>
      </c>
      <c r="AG79" s="755" t="s">
        <v>273</v>
      </c>
      <c r="AH79" s="755" t="s">
        <v>273</v>
      </c>
      <c r="AI79" s="755" t="s">
        <v>273</v>
      </c>
    </row>
    <row r="80" spans="1:35" s="112" customFormat="1" x14ac:dyDescent="0.25">
      <c r="A80" s="331"/>
      <c r="B80" s="7"/>
      <c r="C80" s="113"/>
      <c r="D80" s="529"/>
      <c r="E80" s="529"/>
      <c r="F80" s="530"/>
      <c r="G80" s="530"/>
      <c r="H80" s="530"/>
      <c r="I80" s="530"/>
      <c r="J80" s="530"/>
      <c r="K80" s="530"/>
      <c r="L80" s="530"/>
      <c r="M80" s="632"/>
      <c r="N80" s="632"/>
      <c r="O80" s="632"/>
      <c r="P80" s="530"/>
      <c r="Q80" s="541"/>
      <c r="R80" s="541"/>
      <c r="S80" s="541"/>
      <c r="T80" s="541"/>
      <c r="U80" s="541"/>
      <c r="V80" s="564"/>
      <c r="W80" s="411"/>
      <c r="X80" s="411"/>
      <c r="Y80" s="541"/>
      <c r="Z80" s="631"/>
      <c r="AA80" s="540"/>
      <c r="AB80" s="540"/>
      <c r="AC80" s="540"/>
      <c r="AD80" s="540"/>
      <c r="AE80" s="541"/>
      <c r="AF80" s="542"/>
      <c r="AG80" s="543"/>
      <c r="AH80" s="542"/>
      <c r="AI80" s="541"/>
    </row>
    <row r="81" spans="2:35" customFormat="1" x14ac:dyDescent="0.25">
      <c r="B81" s="127"/>
      <c r="D81" s="233"/>
      <c r="E81" s="233"/>
      <c r="F81" s="75"/>
      <c r="G81" s="74"/>
      <c r="H81" s="74"/>
      <c r="I81" s="74"/>
      <c r="J81" s="74"/>
      <c r="K81" s="74"/>
      <c r="L81" s="74"/>
      <c r="M81" s="74"/>
      <c r="N81" s="74"/>
      <c r="O81" s="74"/>
      <c r="S81" s="206"/>
      <c r="V81" s="262"/>
      <c r="W81" s="74"/>
      <c r="X81" s="74"/>
      <c r="Y81" s="208"/>
      <c r="Z81" s="209"/>
      <c r="AA81" s="481"/>
      <c r="AB81" s="481"/>
      <c r="AC81" s="481"/>
      <c r="AD81" s="481"/>
      <c r="AE81" s="482"/>
      <c r="AF81" s="483"/>
      <c r="AG81" s="484"/>
      <c r="AH81" s="175"/>
      <c r="AI81" s="175"/>
    </row>
    <row r="82" spans="2:35" customFormat="1" x14ac:dyDescent="0.25">
      <c r="B82" s="127"/>
      <c r="D82" s="233"/>
      <c r="E82" s="233"/>
      <c r="F82" s="75"/>
      <c r="G82" s="74"/>
      <c r="H82" s="74"/>
      <c r="I82" s="74"/>
      <c r="J82" s="74"/>
      <c r="K82" s="74"/>
      <c r="L82" s="74"/>
      <c r="M82" s="74"/>
      <c r="N82" s="74"/>
      <c r="O82" s="74"/>
      <c r="S82" s="206"/>
      <c r="V82" s="262"/>
      <c r="W82" s="74"/>
      <c r="X82" s="74"/>
      <c r="Y82" s="208"/>
      <c r="Z82" s="209"/>
      <c r="AA82" s="481"/>
      <c r="AB82" s="481"/>
      <c r="AC82" s="481"/>
      <c r="AD82" s="481"/>
      <c r="AE82" s="482"/>
      <c r="AF82" s="483"/>
      <c r="AG82" s="484"/>
      <c r="AH82" s="175"/>
      <c r="AI82" s="175"/>
    </row>
    <row r="83" spans="2:35" customFormat="1" x14ac:dyDescent="0.25">
      <c r="B83" s="127"/>
      <c r="D83" s="233"/>
      <c r="E83" s="233"/>
      <c r="F83" s="75"/>
      <c r="G83" s="74"/>
      <c r="H83" s="74"/>
      <c r="I83" s="74"/>
      <c r="J83" s="74"/>
      <c r="K83" s="74"/>
      <c r="L83" s="74"/>
      <c r="M83" s="74"/>
      <c r="N83" s="74"/>
      <c r="O83" s="74"/>
      <c r="S83" s="206"/>
      <c r="V83" s="262"/>
      <c r="W83" s="74"/>
      <c r="X83" s="74"/>
      <c r="Y83" s="208"/>
      <c r="Z83" s="209"/>
      <c r="AA83" s="481"/>
      <c r="AB83" s="481"/>
      <c r="AC83" s="481"/>
      <c r="AD83" s="481"/>
      <c r="AE83" s="482"/>
      <c r="AF83" s="483"/>
      <c r="AG83" s="484"/>
      <c r="AH83" s="175"/>
      <c r="AI83" s="175"/>
    </row>
    <row r="84" spans="2:35" customFormat="1" x14ac:dyDescent="0.25">
      <c r="B84" s="127"/>
      <c r="D84" s="233"/>
      <c r="E84" s="233"/>
      <c r="F84" s="75"/>
      <c r="G84" s="74"/>
      <c r="H84" s="74"/>
      <c r="I84" s="74"/>
      <c r="J84" s="74"/>
      <c r="K84" s="74"/>
      <c r="L84" s="74"/>
      <c r="M84" s="74"/>
      <c r="N84" s="74"/>
      <c r="O84" s="74"/>
      <c r="S84" s="206"/>
      <c r="V84" s="262"/>
      <c r="W84" s="74"/>
      <c r="X84" s="74"/>
      <c r="Y84" s="208"/>
      <c r="Z84" s="209"/>
      <c r="AA84" s="481"/>
      <c r="AB84" s="481"/>
      <c r="AC84" s="481"/>
      <c r="AD84" s="481"/>
      <c r="AE84" s="482"/>
      <c r="AF84" s="483"/>
      <c r="AG84" s="484"/>
      <c r="AH84" s="175"/>
      <c r="AI84" s="175"/>
    </row>
    <row r="85" spans="2:35" customFormat="1" x14ac:dyDescent="0.25">
      <c r="B85" s="127"/>
      <c r="D85" s="233"/>
      <c r="E85" s="233"/>
      <c r="F85" s="75"/>
      <c r="G85" s="74"/>
      <c r="H85" s="74"/>
      <c r="I85" s="74"/>
      <c r="J85" s="74"/>
      <c r="K85" s="74"/>
      <c r="L85" s="74"/>
      <c r="M85" s="74"/>
      <c r="N85" s="74"/>
      <c r="O85" s="74"/>
      <c r="S85" s="206"/>
      <c r="V85" s="262"/>
      <c r="W85" s="74"/>
      <c r="X85" s="74"/>
      <c r="Y85" s="208"/>
      <c r="Z85" s="209"/>
      <c r="AA85" s="481"/>
      <c r="AB85" s="481"/>
      <c r="AC85" s="481"/>
      <c r="AD85" s="481"/>
      <c r="AE85" s="482"/>
      <c r="AF85" s="483"/>
      <c r="AG85" s="484"/>
      <c r="AH85" s="175"/>
      <c r="AI85" s="175"/>
    </row>
    <row r="86" spans="2:35" customFormat="1" x14ac:dyDescent="0.25">
      <c r="B86" s="127"/>
      <c r="D86" s="233"/>
      <c r="E86" s="233"/>
      <c r="F86" s="75"/>
      <c r="G86" s="74"/>
      <c r="H86" s="74"/>
      <c r="I86" s="74"/>
      <c r="J86" s="74"/>
      <c r="K86" s="74"/>
      <c r="L86" s="74"/>
      <c r="M86" s="74"/>
      <c r="N86" s="74"/>
      <c r="O86" s="74"/>
      <c r="S86" s="206"/>
      <c r="V86" s="262"/>
      <c r="W86" s="74"/>
      <c r="X86" s="74"/>
      <c r="Y86" s="208"/>
      <c r="Z86" s="209"/>
      <c r="AA86" s="481"/>
      <c r="AB86" s="481"/>
      <c r="AC86" s="481"/>
      <c r="AD86" s="481"/>
      <c r="AE86" s="482"/>
      <c r="AF86" s="483"/>
      <c r="AG86" s="484"/>
      <c r="AH86" s="175"/>
      <c r="AI86" s="175"/>
    </row>
    <row r="87" spans="2:35" customFormat="1" x14ac:dyDescent="0.25">
      <c r="B87" s="127"/>
      <c r="D87" s="233"/>
      <c r="E87" s="233"/>
      <c r="F87" s="75"/>
      <c r="G87" s="74"/>
      <c r="H87" s="74"/>
      <c r="I87" s="74"/>
      <c r="J87" s="74"/>
      <c r="K87" s="74"/>
      <c r="L87" s="74"/>
      <c r="M87" s="74"/>
      <c r="N87" s="74"/>
      <c r="O87" s="74"/>
      <c r="S87" s="206"/>
      <c r="V87" s="262"/>
      <c r="W87" s="74"/>
      <c r="X87" s="74"/>
      <c r="Y87" s="208"/>
      <c r="Z87" s="209"/>
      <c r="AA87" s="481"/>
      <c r="AB87" s="481"/>
      <c r="AC87" s="481"/>
      <c r="AD87" s="481"/>
      <c r="AE87" s="482"/>
      <c r="AF87" s="483"/>
      <c r="AG87" s="484"/>
      <c r="AH87" s="175"/>
      <c r="AI87" s="175"/>
    </row>
    <row r="88" spans="2:35" customFormat="1" x14ac:dyDescent="0.25">
      <c r="B88" s="127"/>
      <c r="D88" s="233"/>
      <c r="E88" s="233"/>
      <c r="F88" s="75"/>
      <c r="G88" s="74"/>
      <c r="H88" s="74"/>
      <c r="I88" s="74"/>
      <c r="J88" s="74"/>
      <c r="K88" s="74"/>
      <c r="L88" s="74"/>
      <c r="M88" s="74"/>
      <c r="N88" s="74"/>
      <c r="O88" s="74"/>
      <c r="S88" s="206"/>
      <c r="V88" s="262"/>
      <c r="W88" s="74"/>
      <c r="X88" s="74"/>
      <c r="Y88" s="208"/>
      <c r="Z88" s="209"/>
      <c r="AA88" s="481"/>
      <c r="AB88" s="481"/>
      <c r="AC88" s="481"/>
      <c r="AD88" s="481"/>
      <c r="AE88" s="482"/>
      <c r="AF88" s="483"/>
      <c r="AG88" s="484"/>
      <c r="AH88" s="175"/>
      <c r="AI88" s="175"/>
    </row>
    <row r="89" spans="2:35" customFormat="1" x14ac:dyDescent="0.25">
      <c r="B89" s="127"/>
      <c r="D89" s="233"/>
      <c r="E89" s="233"/>
      <c r="F89" s="75"/>
      <c r="G89" s="74"/>
      <c r="H89" s="74"/>
      <c r="I89" s="74"/>
      <c r="J89" s="74"/>
      <c r="K89" s="74"/>
      <c r="L89" s="74"/>
      <c r="M89" s="74"/>
      <c r="N89" s="74"/>
      <c r="O89" s="74"/>
      <c r="S89" s="206"/>
      <c r="V89" s="262"/>
      <c r="W89" s="74"/>
      <c r="X89" s="74"/>
      <c r="Y89" s="208"/>
      <c r="Z89" s="209"/>
      <c r="AA89" s="481"/>
      <c r="AB89" s="481"/>
      <c r="AC89" s="481"/>
      <c r="AD89" s="481"/>
      <c r="AE89" s="482"/>
      <c r="AF89" s="483"/>
      <c r="AG89" s="484"/>
      <c r="AH89" s="175"/>
      <c r="AI89" s="175"/>
    </row>
    <row r="90" spans="2:35" customFormat="1" x14ac:dyDescent="0.25">
      <c r="B90" s="127"/>
      <c r="D90" s="233"/>
      <c r="E90" s="233"/>
      <c r="F90" s="75"/>
      <c r="G90" s="74"/>
      <c r="H90" s="74"/>
      <c r="I90" s="74"/>
      <c r="J90" s="74"/>
      <c r="K90" s="74"/>
      <c r="L90" s="74"/>
      <c r="M90" s="74"/>
      <c r="N90" s="74"/>
      <c r="O90" s="74"/>
      <c r="S90" s="206"/>
      <c r="V90" s="262"/>
      <c r="W90" s="74"/>
      <c r="X90" s="74"/>
      <c r="Y90" s="208"/>
      <c r="Z90" s="209"/>
      <c r="AA90" s="481"/>
      <c r="AB90" s="481"/>
      <c r="AC90" s="481"/>
      <c r="AD90" s="481"/>
      <c r="AE90" s="482"/>
      <c r="AF90" s="483"/>
      <c r="AG90" s="484"/>
      <c r="AH90" s="175"/>
      <c r="AI90" s="175"/>
    </row>
    <row r="91" spans="2:35" customFormat="1" x14ac:dyDescent="0.25">
      <c r="B91" s="127"/>
      <c r="D91" s="233"/>
      <c r="E91" s="233"/>
      <c r="F91" s="75"/>
      <c r="G91" s="74"/>
      <c r="H91" s="74"/>
      <c r="I91" s="74"/>
      <c r="J91" s="74"/>
      <c r="K91" s="74"/>
      <c r="L91" s="74"/>
      <c r="M91" s="74"/>
      <c r="N91" s="74"/>
      <c r="O91" s="74"/>
      <c r="S91" s="206"/>
      <c r="V91" s="262"/>
      <c r="W91" s="74"/>
      <c r="X91" s="74"/>
      <c r="Y91" s="208"/>
      <c r="Z91" s="209"/>
      <c r="AA91" s="481"/>
      <c r="AB91" s="481"/>
      <c r="AC91" s="481"/>
      <c r="AD91" s="481"/>
      <c r="AE91" s="482"/>
      <c r="AF91" s="483"/>
      <c r="AG91" s="484"/>
      <c r="AH91" s="175"/>
      <c r="AI91" s="175"/>
    </row>
    <row r="92" spans="2:35" customFormat="1" x14ac:dyDescent="0.25">
      <c r="B92" s="127"/>
      <c r="D92" s="233"/>
      <c r="E92" s="233"/>
      <c r="F92" s="75"/>
      <c r="G92" s="74"/>
      <c r="H92" s="74"/>
      <c r="I92" s="74"/>
      <c r="J92" s="74"/>
      <c r="K92" s="74"/>
      <c r="L92" s="74"/>
      <c r="M92" s="74"/>
      <c r="N92" s="74"/>
      <c r="O92" s="74"/>
      <c r="S92" s="206"/>
      <c r="V92" s="262"/>
      <c r="W92" s="74"/>
      <c r="X92" s="74"/>
      <c r="Y92" s="208"/>
      <c r="Z92" s="209"/>
      <c r="AA92" s="481"/>
      <c r="AB92" s="481"/>
      <c r="AC92" s="481"/>
      <c r="AD92" s="481"/>
      <c r="AE92" s="482"/>
      <c r="AF92" s="483"/>
      <c r="AG92" s="484"/>
      <c r="AH92" s="175"/>
      <c r="AI92" s="175"/>
    </row>
    <row r="93" spans="2:35" customFormat="1" x14ac:dyDescent="0.25">
      <c r="B93" s="127"/>
      <c r="D93" s="233"/>
      <c r="E93" s="233"/>
      <c r="F93" s="75"/>
      <c r="G93" s="74"/>
      <c r="H93" s="74"/>
      <c r="I93" s="74"/>
      <c r="J93" s="74"/>
      <c r="K93" s="74"/>
      <c r="L93" s="74"/>
      <c r="M93" s="74"/>
      <c r="N93" s="74"/>
      <c r="O93" s="74"/>
      <c r="S93" s="206"/>
      <c r="V93" s="262"/>
      <c r="W93" s="74"/>
      <c r="X93" s="74"/>
      <c r="Y93" s="208"/>
      <c r="Z93" s="209"/>
      <c r="AA93" s="481"/>
      <c r="AB93" s="481"/>
      <c r="AC93" s="481"/>
      <c r="AD93" s="481"/>
      <c r="AE93" s="482"/>
      <c r="AF93" s="483"/>
      <c r="AG93" s="484"/>
      <c r="AH93" s="175"/>
      <c r="AI93" s="175"/>
    </row>
    <row r="94" spans="2:35" customFormat="1" x14ac:dyDescent="0.25">
      <c r="B94" s="127"/>
      <c r="D94" s="233"/>
      <c r="E94" s="233"/>
      <c r="F94" s="75"/>
      <c r="G94" s="74"/>
      <c r="H94" s="74"/>
      <c r="I94" s="74"/>
      <c r="J94" s="74"/>
      <c r="K94" s="74"/>
      <c r="L94" s="74"/>
      <c r="M94" s="74"/>
      <c r="N94" s="74"/>
      <c r="O94" s="74"/>
      <c r="S94" s="206"/>
      <c r="V94" s="262"/>
      <c r="W94" s="74"/>
      <c r="X94" s="74"/>
      <c r="Y94" s="208"/>
      <c r="Z94" s="209"/>
      <c r="AA94" s="481"/>
      <c r="AB94" s="481"/>
      <c r="AC94" s="481"/>
      <c r="AD94" s="481"/>
      <c r="AE94" s="482"/>
      <c r="AF94" s="483"/>
      <c r="AG94" s="484"/>
      <c r="AH94" s="175"/>
      <c r="AI94" s="175"/>
    </row>
    <row r="95" spans="2:35" customFormat="1" x14ac:dyDescent="0.25">
      <c r="B95" s="127"/>
      <c r="D95" s="233"/>
      <c r="E95" s="233"/>
      <c r="F95" s="75"/>
      <c r="G95" s="74"/>
      <c r="H95" s="74"/>
      <c r="I95" s="74"/>
      <c r="J95" s="74"/>
      <c r="K95" s="74"/>
      <c r="L95" s="74"/>
      <c r="M95" s="74"/>
      <c r="N95" s="74"/>
      <c r="O95" s="74"/>
      <c r="S95" s="206"/>
      <c r="V95" s="262"/>
      <c r="W95" s="74"/>
      <c r="X95" s="74"/>
      <c r="Y95" s="208"/>
      <c r="Z95" s="209"/>
      <c r="AA95" s="481"/>
      <c r="AB95" s="481"/>
      <c r="AC95" s="481"/>
      <c r="AD95" s="481"/>
      <c r="AE95" s="482"/>
      <c r="AF95" s="483"/>
      <c r="AG95" s="484"/>
      <c r="AH95" s="175"/>
      <c r="AI95" s="175"/>
    </row>
    <row r="96" spans="2:35" customFormat="1" x14ac:dyDescent="0.25">
      <c r="B96" s="127"/>
      <c r="D96" s="233"/>
      <c r="E96" s="233"/>
      <c r="F96" s="75"/>
      <c r="G96" s="74"/>
      <c r="H96" s="74"/>
      <c r="I96" s="74"/>
      <c r="J96" s="74"/>
      <c r="K96" s="74"/>
      <c r="L96" s="74"/>
      <c r="M96" s="74"/>
      <c r="N96" s="74"/>
      <c r="O96" s="74"/>
      <c r="S96" s="206"/>
      <c r="V96" s="262"/>
      <c r="W96" s="74"/>
      <c r="X96" s="74"/>
      <c r="Y96" s="208"/>
      <c r="Z96" s="209"/>
      <c r="AA96" s="481"/>
      <c r="AB96" s="481"/>
      <c r="AC96" s="481"/>
      <c r="AD96" s="481"/>
      <c r="AE96" s="482"/>
      <c r="AF96" s="483"/>
      <c r="AG96" s="484"/>
      <c r="AH96" s="175"/>
      <c r="AI96" s="175"/>
    </row>
    <row r="97" spans="2:35" customFormat="1" x14ac:dyDescent="0.25">
      <c r="B97" s="127"/>
      <c r="D97" s="234"/>
      <c r="E97" s="234"/>
      <c r="G97" s="17"/>
      <c r="H97" s="17"/>
      <c r="I97" s="17"/>
      <c r="J97" s="17"/>
      <c r="K97" s="17"/>
      <c r="L97" s="17"/>
      <c r="M97" s="17"/>
      <c r="N97" s="17"/>
      <c r="O97" s="17"/>
      <c r="S97" s="206"/>
      <c r="V97" s="262"/>
      <c r="W97" s="74"/>
      <c r="X97" s="74"/>
      <c r="Y97" s="208"/>
      <c r="Z97" s="209"/>
      <c r="AA97" s="481"/>
      <c r="AB97" s="481"/>
      <c r="AC97" s="481"/>
      <c r="AD97" s="481"/>
      <c r="AE97" s="482"/>
      <c r="AF97" s="483"/>
      <c r="AG97" s="484"/>
      <c r="AH97" s="175"/>
      <c r="AI97" s="175"/>
    </row>
    <row r="98" spans="2:35" customFormat="1" x14ac:dyDescent="0.25">
      <c r="B98" s="127"/>
      <c r="D98" s="234"/>
      <c r="E98" s="234"/>
      <c r="G98" s="17"/>
      <c r="H98" s="17"/>
      <c r="I98" s="17"/>
      <c r="J98" s="17"/>
      <c r="K98" s="17"/>
      <c r="L98" s="17"/>
      <c r="M98" s="17"/>
      <c r="N98" s="17"/>
      <c r="O98" s="17"/>
      <c r="S98" s="206"/>
      <c r="V98" s="262"/>
      <c r="W98" s="74"/>
      <c r="X98" s="74"/>
      <c r="Y98" s="208"/>
      <c r="Z98" s="209"/>
      <c r="AA98" s="481"/>
      <c r="AB98" s="481"/>
      <c r="AC98" s="481"/>
      <c r="AD98" s="481"/>
      <c r="AE98" s="482"/>
      <c r="AF98" s="483"/>
      <c r="AG98" s="484"/>
      <c r="AH98" s="175"/>
      <c r="AI98" s="175"/>
    </row>
    <row r="99" spans="2:35" customFormat="1" x14ac:dyDescent="0.25">
      <c r="B99" s="127"/>
      <c r="D99" s="234"/>
      <c r="E99" s="234"/>
      <c r="G99" s="17"/>
      <c r="H99" s="17"/>
      <c r="I99" s="17"/>
      <c r="J99" s="17"/>
      <c r="K99" s="17"/>
      <c r="L99" s="17"/>
      <c r="M99" s="17"/>
      <c r="N99" s="17"/>
      <c r="O99" s="17"/>
      <c r="S99" s="206"/>
      <c r="V99" s="262"/>
      <c r="W99" s="74"/>
      <c r="X99" s="74"/>
      <c r="Y99" s="208"/>
      <c r="Z99" s="209"/>
      <c r="AA99" s="481"/>
      <c r="AB99" s="481"/>
      <c r="AC99" s="481"/>
      <c r="AD99" s="481"/>
      <c r="AE99" s="482"/>
      <c r="AF99" s="483"/>
      <c r="AG99" s="484"/>
      <c r="AH99" s="175"/>
      <c r="AI99" s="175"/>
    </row>
    <row r="100" spans="2:35" customFormat="1" x14ac:dyDescent="0.25">
      <c r="B100" s="127"/>
      <c r="D100" s="234"/>
      <c r="E100" s="234"/>
      <c r="G100" s="17"/>
      <c r="H100" s="17"/>
      <c r="I100" s="17"/>
      <c r="J100" s="17"/>
      <c r="K100" s="17"/>
      <c r="L100" s="17"/>
      <c r="M100" s="17"/>
      <c r="N100" s="17"/>
      <c r="O100" s="17"/>
      <c r="S100" s="206"/>
      <c r="V100" s="262"/>
      <c r="W100" s="74"/>
      <c r="X100" s="74"/>
      <c r="Y100" s="208"/>
      <c r="Z100" s="209"/>
      <c r="AA100" s="481"/>
      <c r="AB100" s="481"/>
      <c r="AC100" s="481"/>
      <c r="AD100" s="481"/>
      <c r="AE100" s="482"/>
      <c r="AF100" s="483"/>
      <c r="AG100" s="484"/>
      <c r="AH100" s="175"/>
      <c r="AI100" s="175"/>
    </row>
    <row r="101" spans="2:35" customFormat="1" x14ac:dyDescent="0.25">
      <c r="B101" s="127"/>
      <c r="D101" s="234"/>
      <c r="E101" s="234"/>
      <c r="G101" s="17"/>
      <c r="H101" s="17"/>
      <c r="I101" s="17"/>
      <c r="J101" s="17"/>
      <c r="K101" s="17"/>
      <c r="L101" s="17"/>
      <c r="M101" s="17"/>
      <c r="N101" s="17"/>
      <c r="O101" s="17"/>
      <c r="S101" s="206"/>
      <c r="V101" s="262"/>
      <c r="W101" s="74"/>
      <c r="X101" s="74"/>
      <c r="Y101" s="208"/>
      <c r="Z101" s="209"/>
      <c r="AA101" s="481"/>
      <c r="AB101" s="481"/>
      <c r="AC101" s="481"/>
      <c r="AD101" s="481"/>
      <c r="AE101" s="482"/>
      <c r="AF101" s="483"/>
      <c r="AG101" s="484"/>
      <c r="AH101" s="175"/>
      <c r="AI101" s="175"/>
    </row>
    <row r="102" spans="2:35" customFormat="1" x14ac:dyDescent="0.25">
      <c r="B102" s="127"/>
      <c r="D102" s="234"/>
      <c r="E102" s="234"/>
      <c r="G102" s="17"/>
      <c r="H102" s="17"/>
      <c r="I102" s="17"/>
      <c r="J102" s="17"/>
      <c r="K102" s="17"/>
      <c r="L102" s="17"/>
      <c r="M102" s="17"/>
      <c r="N102" s="17"/>
      <c r="O102" s="17"/>
      <c r="S102" s="206"/>
      <c r="V102" s="262"/>
      <c r="W102" s="74"/>
      <c r="X102" s="74"/>
      <c r="Y102" s="208"/>
      <c r="Z102" s="209"/>
      <c r="AA102" s="481"/>
      <c r="AB102" s="481"/>
      <c r="AC102" s="481"/>
      <c r="AD102" s="481"/>
      <c r="AE102" s="482"/>
      <c r="AF102" s="483"/>
      <c r="AG102" s="484"/>
      <c r="AH102" s="175"/>
      <c r="AI102" s="175"/>
    </row>
    <row r="103" spans="2:35" customFormat="1" x14ac:dyDescent="0.25">
      <c r="B103" s="127"/>
      <c r="D103" s="234"/>
      <c r="E103" s="234"/>
      <c r="G103" s="17"/>
      <c r="H103" s="17"/>
      <c r="I103" s="17"/>
      <c r="J103" s="17"/>
      <c r="K103" s="17"/>
      <c r="L103" s="17"/>
      <c r="M103" s="17"/>
      <c r="N103" s="17"/>
      <c r="O103" s="17"/>
      <c r="S103" s="206"/>
      <c r="V103" s="262"/>
      <c r="W103" s="74"/>
      <c r="X103" s="74"/>
      <c r="Y103" s="208"/>
      <c r="Z103" s="209"/>
      <c r="AA103" s="481"/>
      <c r="AB103" s="481"/>
      <c r="AC103" s="481"/>
      <c r="AD103" s="481"/>
      <c r="AE103" s="482"/>
      <c r="AF103" s="483"/>
      <c r="AG103" s="484"/>
      <c r="AH103" s="175"/>
      <c r="AI103" s="175"/>
    </row>
    <row r="104" spans="2:35" customFormat="1" x14ac:dyDescent="0.25">
      <c r="B104" s="127"/>
      <c r="D104" s="234"/>
      <c r="E104" s="234"/>
      <c r="G104" s="17"/>
      <c r="H104" s="17"/>
      <c r="I104" s="17"/>
      <c r="J104" s="17"/>
      <c r="K104" s="17"/>
      <c r="L104" s="17"/>
      <c r="M104" s="17"/>
      <c r="N104" s="17"/>
      <c r="O104" s="17"/>
      <c r="S104" s="206"/>
      <c r="V104" s="262"/>
      <c r="W104" s="74"/>
      <c r="X104" s="74"/>
      <c r="Y104" s="208"/>
      <c r="Z104" s="209"/>
      <c r="AA104" s="481"/>
      <c r="AB104" s="481"/>
      <c r="AC104" s="481"/>
      <c r="AD104" s="481"/>
      <c r="AE104" s="482"/>
      <c r="AF104" s="483"/>
      <c r="AG104" s="484"/>
      <c r="AH104" s="175"/>
      <c r="AI104" s="175"/>
    </row>
    <row r="105" spans="2:35" customFormat="1" x14ac:dyDescent="0.25">
      <c r="B105" s="127"/>
      <c r="D105" s="234"/>
      <c r="E105" s="234"/>
      <c r="G105" s="17"/>
      <c r="H105" s="17"/>
      <c r="I105" s="17"/>
      <c r="J105" s="17"/>
      <c r="K105" s="17"/>
      <c r="L105" s="17"/>
      <c r="M105" s="17"/>
      <c r="N105" s="17"/>
      <c r="O105" s="17"/>
      <c r="S105" s="206"/>
      <c r="V105" s="262"/>
      <c r="W105" s="74"/>
      <c r="X105" s="74"/>
      <c r="Y105" s="208"/>
      <c r="Z105" s="209"/>
      <c r="AA105" s="481"/>
      <c r="AB105" s="481"/>
      <c r="AC105" s="481"/>
      <c r="AD105" s="481"/>
      <c r="AE105" s="482"/>
      <c r="AF105" s="483"/>
      <c r="AG105" s="484"/>
      <c r="AH105" s="175"/>
      <c r="AI105" s="175"/>
    </row>
    <row r="106" spans="2:35" customFormat="1" x14ac:dyDescent="0.25">
      <c r="B106" s="127"/>
      <c r="D106" s="234"/>
      <c r="E106" s="234"/>
      <c r="G106" s="17"/>
      <c r="H106" s="17"/>
      <c r="I106" s="17"/>
      <c r="J106" s="17"/>
      <c r="K106" s="17"/>
      <c r="L106" s="17"/>
      <c r="M106" s="17"/>
      <c r="N106" s="17"/>
      <c r="O106" s="17"/>
      <c r="S106" s="206"/>
      <c r="V106" s="262"/>
      <c r="W106" s="74"/>
      <c r="X106" s="74"/>
      <c r="Y106" s="208"/>
      <c r="Z106" s="209"/>
      <c r="AA106" s="481"/>
      <c r="AB106" s="481"/>
      <c r="AC106" s="481"/>
      <c r="AD106" s="481"/>
      <c r="AE106" s="482"/>
      <c r="AF106" s="483"/>
      <c r="AG106" s="484"/>
      <c r="AH106" s="175"/>
      <c r="AI106" s="175"/>
    </row>
    <row r="107" spans="2:35" customFormat="1" x14ac:dyDescent="0.25">
      <c r="B107" s="127"/>
      <c r="D107" s="234"/>
      <c r="E107" s="234"/>
      <c r="G107" s="17"/>
      <c r="H107" s="17"/>
      <c r="I107" s="17"/>
      <c r="J107" s="17"/>
      <c r="K107" s="17"/>
      <c r="L107" s="17"/>
      <c r="M107" s="17"/>
      <c r="N107" s="17"/>
      <c r="O107" s="17"/>
      <c r="S107" s="206"/>
      <c r="V107" s="262"/>
      <c r="W107" s="74"/>
      <c r="X107" s="74"/>
      <c r="Y107" s="208"/>
      <c r="Z107" s="209"/>
      <c r="AA107" s="481"/>
      <c r="AB107" s="481"/>
      <c r="AC107" s="481"/>
      <c r="AD107" s="481"/>
      <c r="AE107" s="482"/>
      <c r="AF107" s="483"/>
      <c r="AG107" s="484"/>
      <c r="AH107" s="175"/>
      <c r="AI107" s="175"/>
    </row>
    <row r="108" spans="2:35" customFormat="1" x14ac:dyDescent="0.25">
      <c r="B108" s="127"/>
      <c r="D108" s="234"/>
      <c r="E108" s="234"/>
      <c r="G108" s="17"/>
      <c r="H108" s="17"/>
      <c r="I108" s="17"/>
      <c r="J108" s="17"/>
      <c r="K108" s="17"/>
      <c r="L108" s="17"/>
      <c r="M108" s="17"/>
      <c r="N108" s="17"/>
      <c r="O108" s="17"/>
      <c r="S108" s="206"/>
      <c r="V108" s="262"/>
      <c r="W108" s="74"/>
      <c r="X108" s="74"/>
      <c r="Y108" s="208"/>
      <c r="Z108" s="209"/>
      <c r="AA108" s="481"/>
      <c r="AB108" s="481"/>
      <c r="AC108" s="481"/>
      <c r="AD108" s="481"/>
      <c r="AE108" s="482"/>
      <c r="AF108" s="483"/>
      <c r="AG108" s="484"/>
      <c r="AH108" s="175"/>
      <c r="AI108" s="175"/>
    </row>
    <row r="109" spans="2:35" customFormat="1" x14ac:dyDescent="0.25">
      <c r="B109" s="127"/>
      <c r="D109" s="234"/>
      <c r="E109" s="234"/>
      <c r="G109" s="17"/>
      <c r="H109" s="17"/>
      <c r="I109" s="17"/>
      <c r="J109" s="17"/>
      <c r="K109" s="17"/>
      <c r="L109" s="17"/>
      <c r="M109" s="17"/>
      <c r="N109" s="17"/>
      <c r="O109" s="17"/>
      <c r="S109" s="206"/>
      <c r="V109" s="262"/>
      <c r="W109" s="74"/>
      <c r="X109" s="74"/>
      <c r="Y109" s="208"/>
      <c r="Z109" s="209"/>
      <c r="AA109" s="481"/>
      <c r="AB109" s="481"/>
      <c r="AC109" s="481"/>
      <c r="AD109" s="481"/>
      <c r="AE109" s="482"/>
      <c r="AF109" s="483"/>
      <c r="AG109" s="484"/>
      <c r="AH109" s="175"/>
      <c r="AI109" s="175"/>
    </row>
    <row r="110" spans="2:35" customFormat="1" x14ac:dyDescent="0.25">
      <c r="B110" s="127"/>
      <c r="D110" s="234"/>
      <c r="E110" s="234"/>
      <c r="G110" s="17"/>
      <c r="H110" s="17"/>
      <c r="I110" s="17"/>
      <c r="J110" s="17"/>
      <c r="K110" s="17"/>
      <c r="L110" s="17"/>
      <c r="M110" s="17"/>
      <c r="N110" s="17"/>
      <c r="O110" s="17"/>
      <c r="S110" s="206"/>
      <c r="V110" s="262"/>
      <c r="W110" s="74"/>
      <c r="X110" s="74"/>
      <c r="Y110" s="208"/>
      <c r="Z110" s="209"/>
      <c r="AA110" s="481"/>
      <c r="AB110" s="481"/>
      <c r="AC110" s="481"/>
      <c r="AD110" s="481"/>
      <c r="AE110" s="482"/>
      <c r="AF110" s="483"/>
      <c r="AG110" s="484"/>
      <c r="AH110" s="175"/>
      <c r="AI110" s="175"/>
    </row>
    <row r="111" spans="2:35" customFormat="1" x14ac:dyDescent="0.25">
      <c r="B111" s="127"/>
      <c r="D111" s="234"/>
      <c r="E111" s="234"/>
      <c r="G111" s="17"/>
      <c r="H111" s="17"/>
      <c r="I111" s="17"/>
      <c r="J111" s="17"/>
      <c r="K111" s="17"/>
      <c r="L111" s="17"/>
      <c r="M111" s="17"/>
      <c r="N111" s="17"/>
      <c r="O111" s="17"/>
      <c r="S111" s="206"/>
      <c r="V111" s="262"/>
      <c r="W111" s="74"/>
      <c r="X111" s="74"/>
      <c r="Y111" s="208"/>
      <c r="Z111" s="209"/>
      <c r="AA111" s="481"/>
      <c r="AB111" s="481"/>
      <c r="AC111" s="481"/>
      <c r="AD111" s="481"/>
      <c r="AE111" s="482"/>
      <c r="AF111" s="483"/>
      <c r="AG111" s="484"/>
      <c r="AH111" s="175"/>
      <c r="AI111" s="175"/>
    </row>
    <row r="112" spans="2:35" customFormat="1" x14ac:dyDescent="0.25">
      <c r="B112" s="127"/>
      <c r="D112" s="234"/>
      <c r="E112" s="234"/>
      <c r="G112" s="17"/>
      <c r="H112" s="17"/>
      <c r="I112" s="17"/>
      <c r="J112" s="17"/>
      <c r="K112" s="17"/>
      <c r="L112" s="17"/>
      <c r="M112" s="17"/>
      <c r="N112" s="17"/>
      <c r="O112" s="17"/>
      <c r="S112" s="206"/>
      <c r="V112" s="262"/>
      <c r="W112" s="74"/>
      <c r="X112" s="74"/>
      <c r="Y112" s="208"/>
      <c r="Z112" s="209"/>
      <c r="AA112" s="481"/>
      <c r="AB112" s="481"/>
      <c r="AC112" s="481"/>
      <c r="AD112" s="481"/>
      <c r="AE112" s="482"/>
      <c r="AF112" s="483"/>
      <c r="AG112" s="484"/>
      <c r="AH112" s="175"/>
      <c r="AI112" s="175"/>
    </row>
    <row r="113" spans="2:35" customFormat="1" x14ac:dyDescent="0.25">
      <c r="B113" s="127"/>
      <c r="D113" s="234"/>
      <c r="E113" s="234"/>
      <c r="G113" s="17"/>
      <c r="H113" s="17"/>
      <c r="I113" s="17"/>
      <c r="J113" s="17"/>
      <c r="K113" s="17"/>
      <c r="L113" s="17"/>
      <c r="M113" s="17"/>
      <c r="N113" s="17"/>
      <c r="O113" s="17"/>
      <c r="S113" s="206"/>
      <c r="V113" s="262"/>
      <c r="W113" s="74"/>
      <c r="X113" s="74"/>
      <c r="Y113" s="208"/>
      <c r="Z113" s="209"/>
      <c r="AA113" s="481"/>
      <c r="AB113" s="481"/>
      <c r="AC113" s="481"/>
      <c r="AD113" s="481"/>
      <c r="AE113" s="482"/>
      <c r="AF113" s="483"/>
      <c r="AG113" s="484"/>
      <c r="AH113" s="175"/>
      <c r="AI113" s="175"/>
    </row>
    <row r="114" spans="2:35" customFormat="1" x14ac:dyDescent="0.25">
      <c r="B114" s="127"/>
      <c r="D114" s="234"/>
      <c r="E114" s="234"/>
      <c r="G114" s="17"/>
      <c r="H114" s="17"/>
      <c r="I114" s="17"/>
      <c r="J114" s="17"/>
      <c r="K114" s="17"/>
      <c r="L114" s="17"/>
      <c r="M114" s="17"/>
      <c r="N114" s="17"/>
      <c r="O114" s="17"/>
      <c r="S114" s="206"/>
      <c r="V114" s="262"/>
      <c r="W114" s="74"/>
      <c r="X114" s="74"/>
      <c r="Y114" s="208"/>
      <c r="Z114" s="209"/>
      <c r="AA114" s="481"/>
      <c r="AB114" s="481"/>
      <c r="AC114" s="481"/>
      <c r="AD114" s="481"/>
      <c r="AE114" s="482"/>
      <c r="AF114" s="483"/>
      <c r="AG114" s="484"/>
      <c r="AH114" s="175"/>
      <c r="AI114" s="175"/>
    </row>
    <row r="115" spans="2:35" customFormat="1" x14ac:dyDescent="0.25">
      <c r="B115" s="127"/>
      <c r="D115" s="234"/>
      <c r="E115" s="234"/>
      <c r="G115" s="17"/>
      <c r="H115" s="17"/>
      <c r="I115" s="17"/>
      <c r="J115" s="17"/>
      <c r="K115" s="17"/>
      <c r="L115" s="17"/>
      <c r="M115" s="17"/>
      <c r="N115" s="17"/>
      <c r="O115" s="17"/>
      <c r="S115" s="206"/>
      <c r="V115" s="262"/>
      <c r="W115" s="74"/>
      <c r="X115" s="74"/>
      <c r="Y115" s="208"/>
      <c r="Z115" s="209"/>
      <c r="AA115" s="481"/>
      <c r="AB115" s="481"/>
      <c r="AC115" s="481"/>
      <c r="AD115" s="481"/>
      <c r="AE115" s="482"/>
      <c r="AF115" s="483"/>
      <c r="AG115" s="484"/>
      <c r="AH115" s="175"/>
      <c r="AI115" s="175"/>
    </row>
    <row r="116" spans="2:35" customFormat="1" x14ac:dyDescent="0.25">
      <c r="B116" s="127"/>
      <c r="D116" s="234"/>
      <c r="E116" s="234"/>
      <c r="G116" s="17"/>
      <c r="H116" s="17"/>
      <c r="I116" s="17"/>
      <c r="J116" s="17"/>
      <c r="K116" s="17"/>
      <c r="L116" s="17"/>
      <c r="M116" s="17"/>
      <c r="N116" s="17"/>
      <c r="O116" s="17"/>
      <c r="S116" s="206"/>
      <c r="V116" s="262"/>
      <c r="W116" s="74"/>
      <c r="X116" s="74"/>
      <c r="Y116" s="208"/>
      <c r="Z116" s="209"/>
      <c r="AA116" s="481"/>
      <c r="AB116" s="481"/>
      <c r="AC116" s="481"/>
      <c r="AD116" s="481"/>
      <c r="AE116" s="482"/>
      <c r="AF116" s="483"/>
      <c r="AG116" s="484"/>
      <c r="AH116" s="175"/>
      <c r="AI116" s="175"/>
    </row>
    <row r="117" spans="2:35" customFormat="1" x14ac:dyDescent="0.25">
      <c r="B117" s="127"/>
      <c r="D117" s="234"/>
      <c r="E117" s="234"/>
      <c r="G117" s="17"/>
      <c r="H117" s="17"/>
      <c r="I117" s="17"/>
      <c r="J117" s="17"/>
      <c r="K117" s="17"/>
      <c r="L117" s="17"/>
      <c r="M117" s="17"/>
      <c r="N117" s="17"/>
      <c r="O117" s="17"/>
      <c r="S117" s="206"/>
      <c r="V117" s="262"/>
      <c r="W117" s="74"/>
      <c r="X117" s="74"/>
      <c r="Y117" s="208"/>
      <c r="Z117" s="209"/>
      <c r="AA117" s="481"/>
      <c r="AB117" s="481"/>
      <c r="AC117" s="481"/>
      <c r="AD117" s="481"/>
      <c r="AE117" s="482"/>
      <c r="AF117" s="483"/>
      <c r="AG117" s="484"/>
      <c r="AH117" s="175"/>
      <c r="AI117" s="175"/>
    </row>
    <row r="118" spans="2:35" customFormat="1" x14ac:dyDescent="0.25">
      <c r="B118" s="127"/>
      <c r="D118" s="234"/>
      <c r="E118" s="234"/>
      <c r="G118" s="17"/>
      <c r="H118" s="17"/>
      <c r="I118" s="17"/>
      <c r="J118" s="17"/>
      <c r="K118" s="17"/>
      <c r="L118" s="17"/>
      <c r="M118" s="17"/>
      <c r="N118" s="17"/>
      <c r="O118" s="17"/>
      <c r="S118" s="206"/>
      <c r="V118" s="262"/>
      <c r="W118" s="74"/>
      <c r="X118" s="74"/>
      <c r="Y118" s="208"/>
      <c r="Z118" s="209"/>
      <c r="AA118" s="481"/>
      <c r="AB118" s="481"/>
      <c r="AC118" s="481"/>
      <c r="AD118" s="481"/>
      <c r="AE118" s="482"/>
      <c r="AF118" s="483"/>
      <c r="AG118" s="484"/>
      <c r="AH118" s="175"/>
      <c r="AI118" s="175"/>
    </row>
    <row r="119" spans="2:35" customFormat="1" x14ac:dyDescent="0.25">
      <c r="B119" s="127"/>
      <c r="D119" s="234"/>
      <c r="E119" s="234"/>
      <c r="G119" s="17"/>
      <c r="H119" s="17"/>
      <c r="I119" s="17"/>
      <c r="J119" s="17"/>
      <c r="K119" s="17"/>
      <c r="L119" s="17"/>
      <c r="M119" s="17"/>
      <c r="N119" s="17"/>
      <c r="O119" s="17"/>
      <c r="S119" s="206"/>
      <c r="V119" s="262"/>
      <c r="W119" s="74"/>
      <c r="X119" s="74"/>
      <c r="Y119" s="208"/>
      <c r="Z119" s="209"/>
      <c r="AA119" s="481"/>
      <c r="AB119" s="481"/>
      <c r="AC119" s="481"/>
      <c r="AD119" s="481"/>
      <c r="AE119" s="482"/>
      <c r="AF119" s="483"/>
      <c r="AG119" s="484"/>
      <c r="AH119" s="175"/>
      <c r="AI119" s="175"/>
    </row>
    <row r="120" spans="2:35" customFormat="1" x14ac:dyDescent="0.25">
      <c r="B120" s="127"/>
      <c r="D120" s="234"/>
      <c r="E120" s="234"/>
      <c r="G120" s="17"/>
      <c r="H120" s="17"/>
      <c r="I120" s="17"/>
      <c r="J120" s="17"/>
      <c r="K120" s="17"/>
      <c r="L120" s="17"/>
      <c r="M120" s="17"/>
      <c r="N120" s="17"/>
      <c r="O120" s="17"/>
      <c r="S120" s="206"/>
      <c r="V120" s="262"/>
      <c r="W120" s="74"/>
      <c r="X120" s="74"/>
      <c r="Y120" s="208"/>
      <c r="Z120" s="209"/>
      <c r="AA120" s="481"/>
      <c r="AB120" s="481"/>
      <c r="AC120" s="481"/>
      <c r="AD120" s="481"/>
      <c r="AE120" s="482"/>
      <c r="AF120" s="483"/>
      <c r="AG120" s="484"/>
      <c r="AH120" s="175"/>
      <c r="AI120" s="175"/>
    </row>
    <row r="121" spans="2:35" customFormat="1" x14ac:dyDescent="0.25">
      <c r="B121" s="127"/>
      <c r="D121" s="234"/>
      <c r="E121" s="234"/>
      <c r="G121" s="17"/>
      <c r="H121" s="17"/>
      <c r="I121" s="17"/>
      <c r="J121" s="17"/>
      <c r="K121" s="17"/>
      <c r="L121" s="17"/>
      <c r="M121" s="17"/>
      <c r="N121" s="17"/>
      <c r="O121" s="17"/>
      <c r="S121" s="206"/>
      <c r="V121" s="262"/>
      <c r="W121" s="74"/>
      <c r="X121" s="74"/>
      <c r="Y121" s="208"/>
      <c r="Z121" s="209"/>
      <c r="AA121" s="481"/>
      <c r="AB121" s="481"/>
      <c r="AC121" s="481"/>
      <c r="AD121" s="481"/>
      <c r="AE121" s="482"/>
      <c r="AF121" s="483"/>
      <c r="AG121" s="484"/>
      <c r="AH121" s="175"/>
      <c r="AI121" s="175"/>
    </row>
    <row r="122" spans="2:35" customFormat="1" x14ac:dyDescent="0.25">
      <c r="B122" s="127"/>
      <c r="D122" s="234"/>
      <c r="E122" s="234"/>
      <c r="G122" s="17"/>
      <c r="H122" s="17"/>
      <c r="I122" s="17"/>
      <c r="J122" s="17"/>
      <c r="K122" s="17"/>
      <c r="L122" s="17"/>
      <c r="M122" s="17"/>
      <c r="N122" s="17"/>
      <c r="O122" s="17"/>
      <c r="S122" s="206"/>
      <c r="V122" s="262"/>
      <c r="W122" s="74"/>
      <c r="X122" s="74"/>
      <c r="Y122" s="208"/>
      <c r="Z122" s="209"/>
      <c r="AA122" s="481"/>
      <c r="AB122" s="481"/>
      <c r="AC122" s="481"/>
      <c r="AD122" s="481"/>
      <c r="AE122" s="482"/>
      <c r="AF122" s="483"/>
      <c r="AG122" s="484"/>
      <c r="AH122" s="175"/>
      <c r="AI122" s="175"/>
    </row>
    <row r="123" spans="2:35" customFormat="1" x14ac:dyDescent="0.25">
      <c r="B123" s="127"/>
      <c r="D123" s="234"/>
      <c r="E123" s="234"/>
      <c r="G123" s="17"/>
      <c r="H123" s="17"/>
      <c r="I123" s="17"/>
      <c r="J123" s="17"/>
      <c r="K123" s="17"/>
      <c r="L123" s="17"/>
      <c r="M123" s="17"/>
      <c r="N123" s="17"/>
      <c r="O123" s="17"/>
      <c r="S123" s="206"/>
      <c r="V123" s="262"/>
      <c r="W123" s="74"/>
      <c r="X123" s="74"/>
      <c r="Y123" s="208"/>
      <c r="Z123" s="209"/>
      <c r="AA123" s="481"/>
      <c r="AB123" s="481"/>
      <c r="AC123" s="481"/>
      <c r="AD123" s="481"/>
      <c r="AE123" s="482"/>
      <c r="AF123" s="483"/>
      <c r="AG123" s="484"/>
      <c r="AH123" s="175"/>
      <c r="AI123" s="175"/>
    </row>
    <row r="124" spans="2:35" customFormat="1" x14ac:dyDescent="0.25">
      <c r="B124" s="127"/>
      <c r="D124" s="234"/>
      <c r="E124" s="234"/>
      <c r="G124" s="17"/>
      <c r="H124" s="17"/>
      <c r="I124" s="17"/>
      <c r="J124" s="17"/>
      <c r="K124" s="17"/>
      <c r="L124" s="17"/>
      <c r="M124" s="17"/>
      <c r="N124" s="17"/>
      <c r="O124" s="17"/>
      <c r="S124" s="206"/>
      <c r="V124" s="262"/>
      <c r="W124" s="74"/>
      <c r="X124" s="74"/>
      <c r="Y124" s="208"/>
      <c r="Z124" s="209"/>
      <c r="AA124" s="481"/>
      <c r="AB124" s="481"/>
      <c r="AC124" s="481"/>
      <c r="AD124" s="481"/>
      <c r="AE124" s="482"/>
      <c r="AF124" s="483"/>
      <c r="AG124" s="484"/>
      <c r="AH124" s="175"/>
      <c r="AI124" s="175"/>
    </row>
    <row r="125" spans="2:35" customFormat="1" x14ac:dyDescent="0.25">
      <c r="B125" s="127"/>
      <c r="D125" s="234"/>
      <c r="E125" s="234"/>
      <c r="G125" s="17"/>
      <c r="H125" s="17"/>
      <c r="I125" s="17"/>
      <c r="J125" s="17"/>
      <c r="K125" s="17"/>
      <c r="L125" s="17"/>
      <c r="M125" s="17"/>
      <c r="N125" s="17"/>
      <c r="O125" s="17"/>
      <c r="S125" s="206"/>
      <c r="V125" s="262"/>
      <c r="W125" s="74"/>
      <c r="X125" s="74"/>
      <c r="Y125" s="208"/>
      <c r="Z125" s="209"/>
      <c r="AA125" s="481"/>
      <c r="AB125" s="481"/>
      <c r="AC125" s="481"/>
      <c r="AD125" s="481"/>
      <c r="AE125" s="482"/>
      <c r="AF125" s="483"/>
      <c r="AG125" s="484"/>
      <c r="AH125" s="175"/>
      <c r="AI125" s="175"/>
    </row>
    <row r="126" spans="2:35" customFormat="1" x14ac:dyDescent="0.25">
      <c r="B126" s="127"/>
      <c r="D126" s="234"/>
      <c r="E126" s="234"/>
      <c r="G126" s="17"/>
      <c r="H126" s="17"/>
      <c r="I126" s="17"/>
      <c r="J126" s="17"/>
      <c r="K126" s="17"/>
      <c r="L126" s="17"/>
      <c r="M126" s="17"/>
      <c r="N126" s="17"/>
      <c r="O126" s="17"/>
      <c r="S126" s="206"/>
      <c r="V126" s="262"/>
      <c r="W126" s="74"/>
      <c r="X126" s="74"/>
      <c r="Y126" s="208"/>
      <c r="Z126" s="209"/>
      <c r="AA126" s="481"/>
      <c r="AB126" s="481"/>
      <c r="AC126" s="481"/>
      <c r="AD126" s="481"/>
      <c r="AE126" s="482"/>
      <c r="AF126" s="483"/>
      <c r="AG126" s="484"/>
      <c r="AH126" s="175"/>
      <c r="AI126" s="175"/>
    </row>
    <row r="127" spans="2:35" customFormat="1" x14ac:dyDescent="0.25">
      <c r="B127" s="127"/>
      <c r="D127" s="234"/>
      <c r="E127" s="234"/>
      <c r="G127" s="17"/>
      <c r="H127" s="17"/>
      <c r="I127" s="17"/>
      <c r="J127" s="17"/>
      <c r="K127" s="17"/>
      <c r="L127" s="17"/>
      <c r="M127" s="17"/>
      <c r="N127" s="17"/>
      <c r="O127" s="17"/>
      <c r="S127" s="206"/>
      <c r="V127" s="262"/>
      <c r="W127" s="74"/>
      <c r="X127" s="74"/>
      <c r="Y127" s="208"/>
      <c r="Z127" s="209"/>
      <c r="AA127" s="481"/>
      <c r="AB127" s="481"/>
      <c r="AC127" s="481"/>
      <c r="AD127" s="481"/>
      <c r="AE127" s="482"/>
      <c r="AF127" s="483"/>
      <c r="AG127" s="484"/>
      <c r="AH127" s="175"/>
      <c r="AI127" s="175"/>
    </row>
    <row r="128" spans="2:35" customFormat="1" x14ac:dyDescent="0.25">
      <c r="B128" s="127"/>
      <c r="D128" s="234"/>
      <c r="E128" s="234"/>
      <c r="G128" s="17"/>
      <c r="H128" s="17"/>
      <c r="I128" s="17"/>
      <c r="J128" s="17"/>
      <c r="K128" s="17"/>
      <c r="L128" s="17"/>
      <c r="M128" s="17"/>
      <c r="N128" s="17"/>
      <c r="O128" s="17"/>
      <c r="S128" s="206"/>
      <c r="V128" s="262"/>
      <c r="W128" s="74"/>
      <c r="X128" s="74"/>
      <c r="Y128" s="208"/>
      <c r="Z128" s="209"/>
      <c r="AA128" s="481"/>
      <c r="AB128" s="481"/>
      <c r="AC128" s="481"/>
      <c r="AD128" s="481"/>
      <c r="AE128" s="482"/>
      <c r="AF128" s="483"/>
      <c r="AG128" s="484"/>
      <c r="AH128" s="175"/>
      <c r="AI128" s="175"/>
    </row>
    <row r="129" spans="2:35" customFormat="1" x14ac:dyDescent="0.25">
      <c r="B129" s="127"/>
      <c r="D129" s="234"/>
      <c r="E129" s="234"/>
      <c r="G129" s="17"/>
      <c r="H129" s="17"/>
      <c r="I129" s="17"/>
      <c r="J129" s="17"/>
      <c r="K129" s="17"/>
      <c r="L129" s="17"/>
      <c r="M129" s="17"/>
      <c r="N129" s="17"/>
      <c r="O129" s="17"/>
      <c r="S129" s="206"/>
      <c r="V129" s="262"/>
      <c r="W129" s="74"/>
      <c r="X129" s="74"/>
      <c r="Y129" s="208"/>
      <c r="Z129" s="209"/>
      <c r="AA129" s="481"/>
      <c r="AB129" s="481"/>
      <c r="AC129" s="481"/>
      <c r="AD129" s="481"/>
      <c r="AE129" s="482"/>
      <c r="AF129" s="483"/>
      <c r="AG129" s="484"/>
      <c r="AH129" s="175"/>
      <c r="AI129" s="175"/>
    </row>
    <row r="130" spans="2:35" customFormat="1" x14ac:dyDescent="0.25">
      <c r="B130" s="127"/>
      <c r="D130" s="234"/>
      <c r="E130" s="234"/>
      <c r="G130" s="17"/>
      <c r="H130" s="17"/>
      <c r="I130" s="17"/>
      <c r="J130" s="17"/>
      <c r="K130" s="17"/>
      <c r="L130" s="17"/>
      <c r="M130" s="17"/>
      <c r="N130" s="17"/>
      <c r="O130" s="17"/>
      <c r="S130" s="206"/>
      <c r="V130" s="262"/>
      <c r="W130" s="74"/>
      <c r="X130" s="74"/>
      <c r="Y130" s="208"/>
      <c r="Z130" s="209"/>
      <c r="AA130" s="481"/>
      <c r="AB130" s="481"/>
      <c r="AC130" s="481"/>
      <c r="AD130" s="481"/>
      <c r="AE130" s="482"/>
      <c r="AF130" s="483"/>
      <c r="AG130" s="484"/>
      <c r="AH130" s="175"/>
      <c r="AI130" s="175"/>
    </row>
    <row r="131" spans="2:35" customFormat="1" x14ac:dyDescent="0.25">
      <c r="B131" s="127"/>
      <c r="D131" s="234"/>
      <c r="E131" s="234"/>
      <c r="G131" s="17"/>
      <c r="H131" s="17"/>
      <c r="I131" s="17"/>
      <c r="J131" s="17"/>
      <c r="K131" s="17"/>
      <c r="L131" s="17"/>
      <c r="M131" s="17"/>
      <c r="N131" s="17"/>
      <c r="O131" s="17"/>
      <c r="S131" s="206"/>
      <c r="V131" s="262"/>
      <c r="W131" s="74"/>
      <c r="X131" s="74"/>
      <c r="Y131" s="208"/>
      <c r="Z131" s="209"/>
      <c r="AA131" s="481"/>
      <c r="AB131" s="481"/>
      <c r="AC131" s="481"/>
      <c r="AD131" s="481"/>
      <c r="AE131" s="482"/>
      <c r="AF131" s="483"/>
      <c r="AG131" s="484"/>
      <c r="AH131" s="175"/>
      <c r="AI131" s="175"/>
    </row>
    <row r="132" spans="2:35" customFormat="1" x14ac:dyDescent="0.25">
      <c r="B132" s="127"/>
      <c r="D132" s="234"/>
      <c r="E132" s="234"/>
      <c r="G132" s="17"/>
      <c r="H132" s="17"/>
      <c r="I132" s="17"/>
      <c r="J132" s="17"/>
      <c r="K132" s="17"/>
      <c r="L132" s="17"/>
      <c r="M132" s="17"/>
      <c r="N132" s="17"/>
      <c r="O132" s="17"/>
      <c r="S132" s="206"/>
      <c r="V132" s="262"/>
      <c r="W132" s="74"/>
      <c r="X132" s="74"/>
      <c r="Y132" s="208"/>
      <c r="Z132" s="209"/>
      <c r="AA132" s="481"/>
      <c r="AB132" s="481"/>
      <c r="AC132" s="481"/>
      <c r="AD132" s="481"/>
      <c r="AE132" s="482"/>
      <c r="AF132" s="483"/>
      <c r="AG132" s="484"/>
      <c r="AH132" s="175"/>
      <c r="AI132" s="175"/>
    </row>
    <row r="133" spans="2:35" customFormat="1" x14ac:dyDescent="0.25">
      <c r="B133" s="127"/>
      <c r="D133" s="234"/>
      <c r="E133" s="234"/>
      <c r="G133" s="17"/>
      <c r="H133" s="17"/>
      <c r="I133" s="17"/>
      <c r="J133" s="17"/>
      <c r="K133" s="17"/>
      <c r="L133" s="17"/>
      <c r="M133" s="17"/>
      <c r="N133" s="17"/>
      <c r="O133" s="17"/>
      <c r="S133" s="206"/>
      <c r="V133" s="262"/>
      <c r="W133" s="74"/>
      <c r="X133" s="74"/>
      <c r="Y133" s="208"/>
      <c r="Z133" s="209"/>
      <c r="AA133" s="481"/>
      <c r="AB133" s="481"/>
      <c r="AC133" s="481"/>
      <c r="AD133" s="481"/>
      <c r="AE133" s="482"/>
      <c r="AF133" s="483"/>
      <c r="AG133" s="484"/>
      <c r="AH133" s="175"/>
      <c r="AI133" s="175"/>
    </row>
    <row r="134" spans="2:35" customFormat="1" x14ac:dyDescent="0.25">
      <c r="B134" s="127"/>
      <c r="D134" s="234"/>
      <c r="E134" s="234"/>
      <c r="G134" s="17"/>
      <c r="H134" s="17"/>
      <c r="I134" s="17"/>
      <c r="J134" s="17"/>
      <c r="K134" s="17"/>
      <c r="L134" s="17"/>
      <c r="M134" s="17"/>
      <c r="N134" s="17"/>
      <c r="O134" s="17"/>
      <c r="S134" s="206"/>
      <c r="V134" s="262"/>
      <c r="W134" s="74"/>
      <c r="X134" s="74"/>
      <c r="Y134" s="208"/>
      <c r="Z134" s="209"/>
      <c r="AA134" s="481"/>
      <c r="AB134" s="481"/>
      <c r="AC134" s="481"/>
      <c r="AD134" s="481"/>
      <c r="AE134" s="482"/>
      <c r="AF134" s="483"/>
      <c r="AG134" s="484"/>
      <c r="AH134" s="175"/>
      <c r="AI134" s="175"/>
    </row>
    <row r="135" spans="2:35" customFormat="1" x14ac:dyDescent="0.25">
      <c r="B135" s="127"/>
      <c r="D135" s="234"/>
      <c r="E135" s="234"/>
      <c r="G135" s="17"/>
      <c r="H135" s="17"/>
      <c r="I135" s="17"/>
      <c r="J135" s="17"/>
      <c r="K135" s="17"/>
      <c r="L135" s="17"/>
      <c r="M135" s="17"/>
      <c r="N135" s="17"/>
      <c r="O135" s="17"/>
      <c r="S135" s="206"/>
      <c r="V135" s="262"/>
      <c r="W135" s="74"/>
      <c r="X135" s="74"/>
      <c r="Y135" s="208"/>
      <c r="Z135" s="209"/>
      <c r="AA135" s="481"/>
      <c r="AB135" s="481"/>
      <c r="AC135" s="481"/>
      <c r="AD135" s="481"/>
      <c r="AE135" s="482"/>
      <c r="AF135" s="483"/>
      <c r="AG135" s="484"/>
      <c r="AH135" s="175"/>
      <c r="AI135" s="175"/>
    </row>
    <row r="136" spans="2:35" customFormat="1" x14ac:dyDescent="0.25">
      <c r="B136" s="127"/>
      <c r="D136" s="234"/>
      <c r="E136" s="234"/>
      <c r="G136" s="17"/>
      <c r="H136" s="17"/>
      <c r="I136" s="17"/>
      <c r="J136" s="17"/>
      <c r="K136" s="17"/>
      <c r="L136" s="17"/>
      <c r="M136" s="17"/>
      <c r="N136" s="17"/>
      <c r="O136" s="17"/>
      <c r="S136" s="206"/>
      <c r="V136" s="262"/>
      <c r="W136" s="74"/>
      <c r="X136" s="74"/>
      <c r="Y136" s="208"/>
      <c r="Z136" s="209"/>
      <c r="AA136" s="481"/>
      <c r="AB136" s="481"/>
      <c r="AC136" s="481"/>
      <c r="AD136" s="481"/>
      <c r="AE136" s="482"/>
      <c r="AF136" s="483"/>
      <c r="AG136" s="484"/>
      <c r="AH136" s="175"/>
      <c r="AI136" s="175"/>
    </row>
    <row r="137" spans="2:35" customFormat="1" x14ac:dyDescent="0.25">
      <c r="B137" s="127"/>
      <c r="D137" s="234"/>
      <c r="E137" s="234"/>
      <c r="G137" s="17"/>
      <c r="H137" s="17"/>
      <c r="I137" s="17"/>
      <c r="J137" s="17"/>
      <c r="K137" s="17"/>
      <c r="L137" s="17"/>
      <c r="M137" s="17"/>
      <c r="N137" s="17"/>
      <c r="O137" s="17"/>
      <c r="S137" s="206"/>
      <c r="V137" s="262"/>
      <c r="W137" s="74"/>
      <c r="X137" s="74"/>
      <c r="Y137" s="208"/>
      <c r="Z137" s="209"/>
      <c r="AA137" s="481"/>
      <c r="AB137" s="481"/>
      <c r="AC137" s="481"/>
      <c r="AD137" s="481"/>
      <c r="AE137" s="482"/>
      <c r="AF137" s="483"/>
      <c r="AG137" s="484"/>
      <c r="AH137" s="175"/>
      <c r="AI137" s="175"/>
    </row>
    <row r="138" spans="2:35" customFormat="1" x14ac:dyDescent="0.25">
      <c r="B138" s="127"/>
      <c r="D138" s="234"/>
      <c r="E138" s="234"/>
      <c r="G138" s="17"/>
      <c r="H138" s="17"/>
      <c r="I138" s="17"/>
      <c r="J138" s="17"/>
      <c r="K138" s="17"/>
      <c r="L138" s="17"/>
      <c r="M138" s="17"/>
      <c r="N138" s="17"/>
      <c r="O138" s="17"/>
      <c r="S138" s="206"/>
      <c r="V138" s="262"/>
      <c r="W138" s="74"/>
      <c r="X138" s="74"/>
      <c r="Y138" s="208"/>
      <c r="Z138" s="209"/>
      <c r="AA138" s="481"/>
      <c r="AB138" s="481"/>
      <c r="AC138" s="481"/>
      <c r="AD138" s="481"/>
      <c r="AE138" s="482"/>
      <c r="AF138" s="483"/>
      <c r="AG138" s="484"/>
      <c r="AH138" s="175"/>
      <c r="AI138" s="175"/>
    </row>
    <row r="139" spans="2:35" customFormat="1" x14ac:dyDescent="0.25">
      <c r="B139" s="127"/>
      <c r="D139" s="234"/>
      <c r="E139" s="234"/>
      <c r="G139" s="17"/>
      <c r="H139" s="17"/>
      <c r="I139" s="17"/>
      <c r="J139" s="17"/>
      <c r="K139" s="17"/>
      <c r="L139" s="17"/>
      <c r="M139" s="17"/>
      <c r="N139" s="17"/>
      <c r="O139" s="17"/>
      <c r="S139" s="206"/>
      <c r="V139" s="262"/>
      <c r="W139" s="74"/>
      <c r="X139" s="74"/>
      <c r="Y139" s="208"/>
      <c r="Z139" s="209"/>
      <c r="AA139" s="481"/>
      <c r="AB139" s="481"/>
      <c r="AC139" s="481"/>
      <c r="AD139" s="481"/>
      <c r="AE139" s="482"/>
      <c r="AF139" s="483"/>
      <c r="AG139" s="484"/>
      <c r="AH139" s="175"/>
      <c r="AI139" s="175"/>
    </row>
    <row r="140" spans="2:35" customFormat="1" x14ac:dyDescent="0.25">
      <c r="B140" s="127"/>
      <c r="D140" s="234"/>
      <c r="E140" s="234"/>
      <c r="G140" s="17"/>
      <c r="H140" s="17"/>
      <c r="I140" s="17"/>
      <c r="J140" s="17"/>
      <c r="K140" s="17"/>
      <c r="L140" s="17"/>
      <c r="M140" s="17"/>
      <c r="N140" s="17"/>
      <c r="O140" s="17"/>
      <c r="S140" s="206"/>
      <c r="V140" s="262"/>
      <c r="W140" s="74"/>
      <c r="X140" s="74"/>
      <c r="Y140" s="208"/>
      <c r="Z140" s="209"/>
      <c r="AA140" s="481"/>
      <c r="AB140" s="481"/>
      <c r="AC140" s="481"/>
      <c r="AD140" s="481"/>
      <c r="AE140" s="482"/>
      <c r="AF140" s="483"/>
      <c r="AG140" s="484"/>
      <c r="AH140" s="175"/>
      <c r="AI140" s="175"/>
    </row>
    <row r="141" spans="2:35" customFormat="1" x14ac:dyDescent="0.25">
      <c r="B141" s="127"/>
      <c r="D141" s="234"/>
      <c r="E141" s="234"/>
      <c r="G141" s="17"/>
      <c r="H141" s="17"/>
      <c r="I141" s="17"/>
      <c r="J141" s="17"/>
      <c r="K141" s="17"/>
      <c r="L141" s="17"/>
      <c r="M141" s="17"/>
      <c r="N141" s="17"/>
      <c r="O141" s="17"/>
      <c r="S141" s="206"/>
      <c r="V141" s="262"/>
      <c r="W141" s="74"/>
      <c r="X141" s="74"/>
      <c r="Y141" s="208"/>
      <c r="Z141" s="209"/>
      <c r="AA141" s="481"/>
      <c r="AB141" s="481"/>
      <c r="AC141" s="481"/>
      <c r="AD141" s="481"/>
      <c r="AE141" s="482"/>
      <c r="AF141" s="483"/>
      <c r="AG141" s="484"/>
      <c r="AH141" s="175"/>
      <c r="AI141" s="175"/>
    </row>
    <row r="142" spans="2:35" customFormat="1" x14ac:dyDescent="0.25">
      <c r="B142" s="127"/>
      <c r="D142" s="234"/>
      <c r="E142" s="234"/>
      <c r="G142" s="17"/>
      <c r="H142" s="17"/>
      <c r="I142" s="17"/>
      <c r="J142" s="17"/>
      <c r="K142" s="17"/>
      <c r="L142" s="17"/>
      <c r="M142" s="17"/>
      <c r="N142" s="17"/>
      <c r="O142" s="17"/>
      <c r="S142" s="206"/>
      <c r="V142" s="262"/>
      <c r="W142" s="74"/>
      <c r="X142" s="74"/>
      <c r="Y142" s="208"/>
      <c r="Z142" s="209"/>
      <c r="AA142" s="481"/>
      <c r="AB142" s="481"/>
      <c r="AC142" s="481"/>
      <c r="AD142" s="481"/>
      <c r="AE142" s="482"/>
      <c r="AF142" s="483"/>
      <c r="AG142" s="484"/>
      <c r="AH142" s="175"/>
      <c r="AI142" s="175"/>
    </row>
    <row r="143" spans="2:35" customFormat="1" x14ac:dyDescent="0.25">
      <c r="B143" s="127"/>
      <c r="D143" s="234"/>
      <c r="E143" s="234"/>
      <c r="G143" s="17"/>
      <c r="H143" s="17"/>
      <c r="I143" s="17"/>
      <c r="J143" s="17"/>
      <c r="K143" s="17"/>
      <c r="L143" s="17"/>
      <c r="M143" s="17"/>
      <c r="N143" s="17"/>
      <c r="O143" s="17"/>
      <c r="S143" s="206"/>
      <c r="V143" s="262"/>
      <c r="W143" s="74"/>
      <c r="X143" s="74"/>
      <c r="Y143" s="208"/>
      <c r="Z143" s="209"/>
      <c r="AA143" s="481"/>
      <c r="AB143" s="481"/>
      <c r="AC143" s="481"/>
      <c r="AD143" s="481"/>
      <c r="AE143" s="482"/>
      <c r="AF143" s="483"/>
      <c r="AG143" s="484"/>
      <c r="AH143" s="175"/>
      <c r="AI143" s="175"/>
    </row>
    <row r="144" spans="2:35" customFormat="1" x14ac:dyDescent="0.25">
      <c r="B144" s="127"/>
      <c r="D144" s="234"/>
      <c r="E144" s="234"/>
      <c r="G144" s="17"/>
      <c r="H144" s="17"/>
      <c r="I144" s="17"/>
      <c r="J144" s="17"/>
      <c r="K144" s="17"/>
      <c r="L144" s="17"/>
      <c r="M144" s="17"/>
      <c r="N144" s="17"/>
      <c r="O144" s="17"/>
      <c r="S144" s="206"/>
      <c r="V144" s="262"/>
      <c r="W144" s="74"/>
      <c r="X144" s="74"/>
      <c r="Y144" s="208"/>
      <c r="Z144" s="209"/>
      <c r="AA144" s="481"/>
      <c r="AB144" s="481"/>
      <c r="AC144" s="481"/>
      <c r="AD144" s="481"/>
      <c r="AE144" s="482"/>
      <c r="AF144" s="483"/>
      <c r="AG144" s="484"/>
      <c r="AH144" s="175"/>
      <c r="AI144" s="175"/>
    </row>
    <row r="145" spans="2:35" customFormat="1" x14ac:dyDescent="0.25">
      <c r="B145" s="127"/>
      <c r="D145" s="234"/>
      <c r="E145" s="234"/>
      <c r="G145" s="17"/>
      <c r="H145" s="17"/>
      <c r="I145" s="17"/>
      <c r="J145" s="17"/>
      <c r="K145" s="17"/>
      <c r="L145" s="17"/>
      <c r="M145" s="17"/>
      <c r="N145" s="17"/>
      <c r="O145" s="17"/>
      <c r="S145" s="206"/>
      <c r="V145" s="262"/>
      <c r="W145" s="74"/>
      <c r="X145" s="74"/>
      <c r="Y145" s="208"/>
      <c r="Z145" s="209"/>
      <c r="AA145" s="481"/>
      <c r="AB145" s="481"/>
      <c r="AC145" s="481"/>
      <c r="AD145" s="481"/>
      <c r="AE145" s="482"/>
      <c r="AF145" s="483"/>
      <c r="AG145" s="484"/>
      <c r="AH145" s="175"/>
      <c r="AI145" s="175"/>
    </row>
    <row r="146" spans="2:35" customFormat="1" x14ac:dyDescent="0.25">
      <c r="B146" s="127"/>
      <c r="D146" s="234"/>
      <c r="E146" s="234"/>
      <c r="G146" s="17"/>
      <c r="H146" s="17"/>
      <c r="I146" s="17"/>
      <c r="J146" s="17"/>
      <c r="K146" s="17"/>
      <c r="L146" s="17"/>
      <c r="M146" s="17"/>
      <c r="N146" s="17"/>
      <c r="O146" s="17"/>
      <c r="S146" s="206"/>
      <c r="V146" s="262"/>
      <c r="W146" s="74"/>
      <c r="X146" s="74"/>
      <c r="Y146" s="208"/>
      <c r="Z146" s="209"/>
      <c r="AA146" s="481"/>
      <c r="AB146" s="481"/>
      <c r="AC146" s="481"/>
      <c r="AD146" s="481"/>
      <c r="AE146" s="482"/>
      <c r="AF146" s="483"/>
      <c r="AG146" s="484"/>
      <c r="AH146" s="175"/>
      <c r="AI146" s="175"/>
    </row>
    <row r="147" spans="2:35" customFormat="1" x14ac:dyDescent="0.25">
      <c r="B147" s="127"/>
      <c r="D147" s="234"/>
      <c r="E147" s="234"/>
      <c r="G147" s="17"/>
      <c r="H147" s="17"/>
      <c r="I147" s="17"/>
      <c r="J147" s="17"/>
      <c r="K147" s="17"/>
      <c r="L147" s="17"/>
      <c r="M147" s="17"/>
      <c r="N147" s="17"/>
      <c r="O147" s="17"/>
      <c r="S147" s="206"/>
      <c r="V147" s="262"/>
      <c r="W147" s="74"/>
      <c r="X147" s="74"/>
      <c r="Y147" s="208"/>
      <c r="Z147" s="209"/>
      <c r="AA147" s="481"/>
      <c r="AB147" s="481"/>
      <c r="AC147" s="481"/>
      <c r="AD147" s="481"/>
      <c r="AE147" s="482"/>
      <c r="AF147" s="483"/>
      <c r="AG147" s="484"/>
      <c r="AH147" s="175"/>
      <c r="AI147" s="175"/>
    </row>
    <row r="148" spans="2:35" customFormat="1" x14ac:dyDescent="0.25">
      <c r="B148" s="127"/>
      <c r="D148" s="234"/>
      <c r="E148" s="234"/>
      <c r="G148" s="17"/>
      <c r="H148" s="17"/>
      <c r="I148" s="17"/>
      <c r="J148" s="17"/>
      <c r="K148" s="17"/>
      <c r="L148" s="17"/>
      <c r="M148" s="17"/>
      <c r="N148" s="17"/>
      <c r="O148" s="17"/>
      <c r="S148" s="206"/>
      <c r="V148" s="262"/>
      <c r="W148" s="74"/>
      <c r="X148" s="74"/>
      <c r="Y148" s="208"/>
      <c r="Z148" s="209"/>
      <c r="AA148" s="481"/>
      <c r="AB148" s="481"/>
      <c r="AC148" s="481"/>
      <c r="AD148" s="481"/>
      <c r="AE148" s="482"/>
      <c r="AF148" s="483"/>
      <c r="AG148" s="484"/>
      <c r="AH148" s="175"/>
      <c r="AI148" s="175"/>
    </row>
    <row r="149" spans="2:35" customFormat="1" x14ac:dyDescent="0.25">
      <c r="B149" s="127"/>
      <c r="D149" s="234"/>
      <c r="E149" s="234"/>
      <c r="G149" s="17"/>
      <c r="H149" s="17"/>
      <c r="I149" s="17"/>
      <c r="J149" s="17"/>
      <c r="K149" s="17"/>
      <c r="L149" s="17"/>
      <c r="M149" s="17"/>
      <c r="N149" s="17"/>
      <c r="O149" s="17"/>
      <c r="S149" s="206"/>
      <c r="V149" s="262"/>
      <c r="W149" s="74"/>
      <c r="X149" s="74"/>
      <c r="Y149" s="208"/>
      <c r="Z149" s="209"/>
      <c r="AA149" s="481"/>
      <c r="AB149" s="481"/>
      <c r="AC149" s="481"/>
      <c r="AD149" s="481"/>
      <c r="AE149" s="482"/>
      <c r="AF149" s="483"/>
      <c r="AG149" s="484"/>
      <c r="AH149" s="175"/>
      <c r="AI149" s="175"/>
    </row>
    <row r="150" spans="2:35" customFormat="1" x14ac:dyDescent="0.25">
      <c r="B150" s="127"/>
      <c r="D150" s="234"/>
      <c r="E150" s="234"/>
      <c r="G150" s="17"/>
      <c r="H150" s="17"/>
      <c r="I150" s="17"/>
      <c r="J150" s="17"/>
      <c r="K150" s="17"/>
      <c r="L150" s="17"/>
      <c r="M150" s="17"/>
      <c r="N150" s="17"/>
      <c r="O150" s="17"/>
      <c r="S150" s="206"/>
      <c r="V150" s="262"/>
      <c r="W150" s="74"/>
      <c r="X150" s="74"/>
      <c r="Y150" s="208"/>
      <c r="Z150" s="209"/>
      <c r="AA150" s="481"/>
      <c r="AB150" s="481"/>
      <c r="AC150" s="481"/>
      <c r="AD150" s="481"/>
      <c r="AE150" s="482"/>
      <c r="AF150" s="483"/>
      <c r="AG150" s="484"/>
      <c r="AH150" s="175"/>
      <c r="AI150" s="175"/>
    </row>
    <row r="151" spans="2:35" customFormat="1" x14ac:dyDescent="0.25">
      <c r="B151" s="127"/>
      <c r="D151" s="234"/>
      <c r="E151" s="234"/>
      <c r="G151" s="17"/>
      <c r="H151" s="17"/>
      <c r="I151" s="17"/>
      <c r="J151" s="17"/>
      <c r="K151" s="17"/>
      <c r="L151" s="17"/>
      <c r="M151" s="17"/>
      <c r="N151" s="17"/>
      <c r="O151" s="17"/>
      <c r="S151" s="206"/>
      <c r="V151" s="262"/>
      <c r="W151" s="74"/>
      <c r="X151" s="74"/>
      <c r="Y151" s="208"/>
      <c r="Z151" s="209"/>
      <c r="AA151" s="481"/>
      <c r="AB151" s="481"/>
      <c r="AC151" s="481"/>
      <c r="AD151" s="481"/>
      <c r="AE151" s="482"/>
      <c r="AF151" s="483"/>
      <c r="AG151" s="484"/>
      <c r="AH151" s="175"/>
      <c r="AI151" s="175"/>
    </row>
    <row r="152" spans="2:35" customFormat="1" x14ac:dyDescent="0.25">
      <c r="B152" s="127"/>
      <c r="D152" s="234"/>
      <c r="E152" s="234"/>
      <c r="G152" s="17"/>
      <c r="H152" s="17"/>
      <c r="I152" s="17"/>
      <c r="J152" s="17"/>
      <c r="K152" s="17"/>
      <c r="L152" s="17"/>
      <c r="M152" s="17"/>
      <c r="N152" s="17"/>
      <c r="O152" s="17"/>
      <c r="S152" s="206"/>
      <c r="V152" s="262"/>
      <c r="W152" s="74"/>
      <c r="X152" s="74"/>
      <c r="Y152" s="208"/>
      <c r="Z152" s="209"/>
      <c r="AA152" s="481"/>
      <c r="AB152" s="481"/>
      <c r="AC152" s="481"/>
      <c r="AD152" s="481"/>
      <c r="AE152" s="482"/>
      <c r="AF152" s="483"/>
      <c r="AG152" s="484"/>
      <c r="AH152" s="175"/>
      <c r="AI152" s="175"/>
    </row>
    <row r="153" spans="2:35" customFormat="1" x14ac:dyDescent="0.25">
      <c r="B153" s="127"/>
      <c r="D153" s="234"/>
      <c r="E153" s="234"/>
      <c r="G153" s="17"/>
      <c r="H153" s="17"/>
      <c r="I153" s="17"/>
      <c r="J153" s="17"/>
      <c r="K153" s="17"/>
      <c r="L153" s="17"/>
      <c r="M153" s="17"/>
      <c r="N153" s="17"/>
      <c r="O153" s="17"/>
      <c r="S153" s="206"/>
      <c r="V153" s="262"/>
      <c r="W153" s="74"/>
      <c r="X153" s="74"/>
      <c r="Y153" s="208"/>
      <c r="Z153" s="209"/>
      <c r="AA153" s="481"/>
      <c r="AB153" s="481"/>
      <c r="AC153" s="481"/>
      <c r="AD153" s="481"/>
      <c r="AE153" s="482"/>
      <c r="AF153" s="483"/>
      <c r="AG153" s="484"/>
      <c r="AH153" s="175"/>
      <c r="AI153" s="175"/>
    </row>
    <row r="154" spans="2:35" customFormat="1" x14ac:dyDescent="0.25">
      <c r="B154" s="127"/>
      <c r="D154" s="234"/>
      <c r="E154" s="234"/>
      <c r="G154" s="17"/>
      <c r="H154" s="17"/>
      <c r="I154" s="17"/>
      <c r="J154" s="17"/>
      <c r="K154" s="17"/>
      <c r="L154" s="17"/>
      <c r="M154" s="17"/>
      <c r="N154" s="17"/>
      <c r="O154" s="17"/>
      <c r="S154" s="206"/>
      <c r="V154" s="262"/>
      <c r="W154" s="74"/>
      <c r="X154" s="74"/>
      <c r="Y154" s="208"/>
      <c r="Z154" s="209"/>
      <c r="AA154" s="481"/>
      <c r="AB154" s="481"/>
      <c r="AC154" s="481"/>
      <c r="AD154" s="481"/>
      <c r="AE154" s="482"/>
      <c r="AF154" s="483"/>
      <c r="AG154" s="484"/>
      <c r="AH154" s="175"/>
      <c r="AI154" s="175"/>
    </row>
    <row r="155" spans="2:35" customFormat="1" x14ac:dyDescent="0.25">
      <c r="B155" s="127"/>
      <c r="D155" s="234"/>
      <c r="E155" s="234"/>
      <c r="G155" s="17"/>
      <c r="H155" s="17"/>
      <c r="I155" s="17"/>
      <c r="J155" s="17"/>
      <c r="K155" s="17"/>
      <c r="L155" s="17"/>
      <c r="M155" s="17"/>
      <c r="N155" s="17"/>
      <c r="O155" s="17"/>
      <c r="S155" s="206"/>
      <c r="V155" s="262"/>
      <c r="W155" s="74"/>
      <c r="X155" s="74"/>
      <c r="Y155" s="208"/>
      <c r="Z155" s="209"/>
      <c r="AA155" s="481"/>
      <c r="AB155" s="481"/>
      <c r="AC155" s="481"/>
      <c r="AD155" s="481"/>
      <c r="AE155" s="482"/>
      <c r="AF155" s="483"/>
      <c r="AG155" s="484"/>
      <c r="AH155" s="175"/>
      <c r="AI155" s="175"/>
    </row>
    <row r="156" spans="2:35" customFormat="1" x14ac:dyDescent="0.25">
      <c r="B156" s="127"/>
      <c r="D156" s="234"/>
      <c r="E156" s="234"/>
      <c r="G156" s="17"/>
      <c r="H156" s="17"/>
      <c r="I156" s="17"/>
      <c r="J156" s="17"/>
      <c r="K156" s="17"/>
      <c r="L156" s="17"/>
      <c r="M156" s="17"/>
      <c r="N156" s="17"/>
      <c r="O156" s="17"/>
      <c r="S156" s="206"/>
      <c r="V156" s="262"/>
      <c r="W156" s="74"/>
      <c r="X156" s="74"/>
      <c r="Y156" s="208"/>
      <c r="Z156" s="209"/>
      <c r="AA156" s="481"/>
      <c r="AB156" s="481"/>
      <c r="AC156" s="481"/>
      <c r="AD156" s="481"/>
      <c r="AE156" s="482"/>
      <c r="AF156" s="483"/>
      <c r="AG156" s="484"/>
      <c r="AH156" s="175"/>
      <c r="AI156" s="175"/>
    </row>
    <row r="157" spans="2:35" customFormat="1" x14ac:dyDescent="0.25">
      <c r="B157" s="127"/>
      <c r="D157" s="234"/>
      <c r="E157" s="234"/>
      <c r="G157" s="17"/>
      <c r="H157" s="17"/>
      <c r="I157" s="17"/>
      <c r="J157" s="17"/>
      <c r="K157" s="17"/>
      <c r="L157" s="17"/>
      <c r="M157" s="17"/>
      <c r="N157" s="17"/>
      <c r="O157" s="17"/>
      <c r="S157" s="206"/>
      <c r="V157" s="262"/>
      <c r="W157" s="74"/>
      <c r="X157" s="74"/>
      <c r="Y157" s="208"/>
      <c r="Z157" s="209"/>
      <c r="AA157" s="481"/>
      <c r="AB157" s="481"/>
      <c r="AC157" s="481"/>
      <c r="AD157" s="481"/>
      <c r="AE157" s="482"/>
      <c r="AF157" s="483"/>
      <c r="AG157" s="484"/>
      <c r="AH157" s="175"/>
      <c r="AI157" s="175"/>
    </row>
    <row r="158" spans="2:35" customFormat="1" x14ac:dyDescent="0.25">
      <c r="B158" s="127"/>
      <c r="D158" s="234"/>
      <c r="E158" s="234"/>
      <c r="G158" s="17"/>
      <c r="H158" s="17"/>
      <c r="I158" s="17"/>
      <c r="J158" s="17"/>
      <c r="K158" s="17"/>
      <c r="L158" s="17"/>
      <c r="M158" s="17"/>
      <c r="N158" s="17"/>
      <c r="O158" s="17"/>
      <c r="S158" s="206"/>
      <c r="V158" s="262"/>
      <c r="W158" s="74"/>
      <c r="X158" s="74"/>
      <c r="Y158" s="208"/>
      <c r="Z158" s="209"/>
      <c r="AA158" s="481"/>
      <c r="AB158" s="481"/>
      <c r="AC158" s="481"/>
      <c r="AD158" s="481"/>
      <c r="AE158" s="482"/>
      <c r="AF158" s="483"/>
      <c r="AG158" s="484"/>
      <c r="AH158" s="175"/>
      <c r="AI158" s="175"/>
    </row>
    <row r="159" spans="2:35" customFormat="1" x14ac:dyDescent="0.25">
      <c r="B159" s="127"/>
      <c r="D159" s="234"/>
      <c r="E159" s="234"/>
      <c r="G159" s="17"/>
      <c r="H159" s="17"/>
      <c r="I159" s="17"/>
      <c r="J159" s="17"/>
      <c r="K159" s="17"/>
      <c r="L159" s="17"/>
      <c r="M159" s="17"/>
      <c r="N159" s="17"/>
      <c r="O159" s="17"/>
      <c r="S159" s="206"/>
      <c r="V159" s="262"/>
      <c r="W159" s="74"/>
      <c r="X159" s="74"/>
      <c r="Y159" s="208"/>
      <c r="Z159" s="209"/>
      <c r="AA159" s="481"/>
      <c r="AB159" s="481"/>
      <c r="AC159" s="481"/>
      <c r="AD159" s="481"/>
      <c r="AE159" s="482"/>
      <c r="AF159" s="483"/>
      <c r="AG159" s="484"/>
      <c r="AH159" s="175"/>
      <c r="AI159" s="175"/>
    </row>
    <row r="160" spans="2:35" customFormat="1" x14ac:dyDescent="0.25">
      <c r="B160" s="127"/>
      <c r="D160" s="234"/>
      <c r="E160" s="234"/>
      <c r="G160" s="17"/>
      <c r="H160" s="17"/>
      <c r="I160" s="17"/>
      <c r="J160" s="17"/>
      <c r="K160" s="17"/>
      <c r="L160" s="17"/>
      <c r="M160" s="17"/>
      <c r="N160" s="17"/>
      <c r="O160" s="17"/>
      <c r="S160" s="206"/>
      <c r="V160" s="262"/>
      <c r="W160" s="74"/>
      <c r="X160" s="74"/>
      <c r="Y160" s="208"/>
      <c r="Z160" s="209"/>
      <c r="AA160" s="481"/>
      <c r="AB160" s="481"/>
      <c r="AC160" s="481"/>
      <c r="AD160" s="481"/>
      <c r="AE160" s="482"/>
      <c r="AF160" s="483"/>
      <c r="AG160" s="484"/>
      <c r="AH160" s="175"/>
      <c r="AI160" s="175"/>
    </row>
    <row r="161" spans="2:35" customFormat="1" x14ac:dyDescent="0.25">
      <c r="B161" s="127"/>
      <c r="D161" s="234"/>
      <c r="E161" s="234"/>
      <c r="G161" s="17"/>
      <c r="H161" s="17"/>
      <c r="I161" s="17"/>
      <c r="J161" s="17"/>
      <c r="K161" s="17"/>
      <c r="L161" s="17"/>
      <c r="M161" s="17"/>
      <c r="N161" s="17"/>
      <c r="O161" s="17"/>
      <c r="S161" s="206"/>
      <c r="V161" s="262"/>
      <c r="W161" s="74"/>
      <c r="X161" s="74"/>
      <c r="Y161" s="208"/>
      <c r="Z161" s="209"/>
      <c r="AA161" s="481"/>
      <c r="AB161" s="481"/>
      <c r="AC161" s="481"/>
      <c r="AD161" s="481"/>
      <c r="AE161" s="482"/>
      <c r="AF161" s="483"/>
      <c r="AG161" s="484"/>
      <c r="AH161" s="175"/>
      <c r="AI161" s="175"/>
    </row>
    <row r="162" spans="2:35" customFormat="1" x14ac:dyDescent="0.25">
      <c r="B162" s="127"/>
      <c r="D162" s="234"/>
      <c r="E162" s="234"/>
      <c r="G162" s="17"/>
      <c r="H162" s="17"/>
      <c r="I162" s="17"/>
      <c r="J162" s="17"/>
      <c r="K162" s="17"/>
      <c r="L162" s="17"/>
      <c r="M162" s="17"/>
      <c r="N162" s="17"/>
      <c r="O162" s="17"/>
      <c r="S162" s="206"/>
      <c r="V162" s="262"/>
      <c r="W162" s="74"/>
      <c r="X162" s="74"/>
      <c r="Y162" s="208"/>
      <c r="Z162" s="209"/>
      <c r="AA162" s="481"/>
      <c r="AB162" s="481"/>
      <c r="AC162" s="481"/>
      <c r="AD162" s="481"/>
      <c r="AE162" s="482"/>
      <c r="AF162" s="483"/>
      <c r="AG162" s="484"/>
      <c r="AH162" s="175"/>
      <c r="AI162" s="175"/>
    </row>
    <row r="163" spans="2:35" customFormat="1" x14ac:dyDescent="0.25">
      <c r="B163" s="127"/>
      <c r="D163" s="234"/>
      <c r="E163" s="234"/>
      <c r="G163" s="17"/>
      <c r="H163" s="17"/>
      <c r="I163" s="17"/>
      <c r="J163" s="17"/>
      <c r="K163" s="17"/>
      <c r="L163" s="17"/>
      <c r="M163" s="17"/>
      <c r="N163" s="17"/>
      <c r="O163" s="17"/>
      <c r="S163" s="206"/>
      <c r="V163" s="262"/>
      <c r="W163" s="74"/>
      <c r="X163" s="74"/>
      <c r="Y163" s="208"/>
      <c r="Z163" s="209"/>
      <c r="AA163" s="481"/>
      <c r="AB163" s="481"/>
      <c r="AC163" s="481"/>
      <c r="AD163" s="481"/>
      <c r="AE163" s="482"/>
      <c r="AF163" s="483"/>
      <c r="AG163" s="484"/>
      <c r="AH163" s="175"/>
      <c r="AI163" s="175"/>
    </row>
    <row r="164" spans="2:35" customFormat="1" x14ac:dyDescent="0.25">
      <c r="B164" s="127"/>
      <c r="D164" s="234"/>
      <c r="E164" s="234"/>
      <c r="G164" s="17"/>
      <c r="H164" s="17"/>
      <c r="I164" s="17"/>
      <c r="J164" s="17"/>
      <c r="K164" s="17"/>
      <c r="L164" s="17"/>
      <c r="M164" s="17"/>
      <c r="N164" s="17"/>
      <c r="O164" s="17"/>
      <c r="S164" s="206"/>
      <c r="V164" s="262"/>
      <c r="W164" s="74"/>
      <c r="X164" s="74"/>
      <c r="Y164" s="208"/>
      <c r="Z164" s="209"/>
      <c r="AA164" s="481"/>
      <c r="AB164" s="481"/>
      <c r="AC164" s="481"/>
      <c r="AD164" s="481"/>
      <c r="AE164" s="482"/>
      <c r="AF164" s="483"/>
      <c r="AG164" s="484"/>
      <c r="AH164" s="175"/>
      <c r="AI164" s="175"/>
    </row>
    <row r="165" spans="2:35" customFormat="1" x14ac:dyDescent="0.25">
      <c r="B165" s="127"/>
      <c r="D165" s="234"/>
      <c r="E165" s="234"/>
      <c r="G165" s="17"/>
      <c r="H165" s="17"/>
      <c r="I165" s="17"/>
      <c r="J165" s="17"/>
      <c r="K165" s="17"/>
      <c r="L165" s="17"/>
      <c r="M165" s="17"/>
      <c r="N165" s="17"/>
      <c r="O165" s="17"/>
      <c r="S165" s="206"/>
      <c r="V165" s="262"/>
      <c r="W165" s="74"/>
      <c r="X165" s="74"/>
      <c r="Y165" s="208"/>
      <c r="Z165" s="209"/>
      <c r="AA165" s="481"/>
      <c r="AB165" s="481"/>
      <c r="AC165" s="481"/>
      <c r="AD165" s="481"/>
      <c r="AE165" s="482"/>
      <c r="AF165" s="483"/>
      <c r="AG165" s="484"/>
      <c r="AH165" s="175"/>
      <c r="AI165" s="175"/>
    </row>
    <row r="166" spans="2:35" customFormat="1" x14ac:dyDescent="0.25">
      <c r="B166" s="127"/>
      <c r="D166" s="234"/>
      <c r="E166" s="234"/>
      <c r="G166" s="17"/>
      <c r="H166" s="17"/>
      <c r="I166" s="17"/>
      <c r="J166" s="17"/>
      <c r="K166" s="17"/>
      <c r="L166" s="17"/>
      <c r="M166" s="17"/>
      <c r="N166" s="17"/>
      <c r="O166" s="17"/>
      <c r="V166" s="262"/>
      <c r="W166" s="74"/>
      <c r="X166" s="74"/>
      <c r="Y166" s="208"/>
      <c r="Z166" s="209"/>
      <c r="AA166" s="481"/>
      <c r="AB166" s="481"/>
      <c r="AC166" s="481"/>
      <c r="AD166" s="481"/>
      <c r="AE166" s="482"/>
      <c r="AF166" s="483"/>
      <c r="AG166" s="175"/>
      <c r="AH166" s="175"/>
      <c r="AI166" s="175"/>
    </row>
    <row r="167" spans="2:35" customFormat="1" x14ac:dyDescent="0.25">
      <c r="B167" s="127"/>
      <c r="D167" s="234"/>
      <c r="E167" s="234"/>
      <c r="G167" s="17"/>
      <c r="H167" s="17"/>
      <c r="I167" s="17"/>
      <c r="J167" s="17"/>
      <c r="K167" s="17"/>
      <c r="L167" s="17"/>
      <c r="M167" s="17"/>
      <c r="N167" s="17"/>
      <c r="O167" s="17"/>
      <c r="V167" s="262"/>
      <c r="W167" s="74"/>
      <c r="X167" s="74"/>
      <c r="Y167" s="208"/>
      <c r="Z167" s="209"/>
      <c r="AA167" s="481"/>
      <c r="AB167" s="481"/>
      <c r="AC167" s="481"/>
      <c r="AD167" s="481"/>
      <c r="AE167" s="482"/>
      <c r="AF167" s="483"/>
      <c r="AG167" s="175"/>
      <c r="AH167" s="175"/>
      <c r="AI167" s="175"/>
    </row>
    <row r="168" spans="2:35" customFormat="1" x14ac:dyDescent="0.25">
      <c r="B168" s="127"/>
      <c r="D168" s="234"/>
      <c r="E168" s="234"/>
      <c r="G168" s="17"/>
      <c r="H168" s="17"/>
      <c r="I168" s="17"/>
      <c r="J168" s="17"/>
      <c r="K168" s="17"/>
      <c r="L168" s="17"/>
      <c r="M168" s="17"/>
      <c r="N168" s="17"/>
      <c r="O168" s="17"/>
      <c r="V168" s="262"/>
      <c r="W168" s="74"/>
      <c r="X168" s="74"/>
      <c r="Y168" s="208"/>
      <c r="Z168" s="209"/>
      <c r="AA168" s="481"/>
      <c r="AB168" s="481"/>
      <c r="AC168" s="481"/>
      <c r="AD168" s="481"/>
      <c r="AE168" s="482"/>
      <c r="AF168" s="483"/>
      <c r="AG168" s="175"/>
      <c r="AH168" s="175"/>
      <c r="AI168" s="175"/>
    </row>
    <row r="169" spans="2:35" customFormat="1" x14ac:dyDescent="0.25">
      <c r="B169" s="127"/>
      <c r="D169" s="234"/>
      <c r="E169" s="234"/>
      <c r="G169" s="17"/>
      <c r="H169" s="17"/>
      <c r="I169" s="17"/>
      <c r="J169" s="17"/>
      <c r="K169" s="17"/>
      <c r="L169" s="17"/>
      <c r="M169" s="17"/>
      <c r="N169" s="17"/>
      <c r="O169" s="17"/>
      <c r="V169" s="262"/>
      <c r="W169" s="74"/>
      <c r="X169" s="74"/>
      <c r="Y169" s="208"/>
      <c r="Z169" s="209"/>
      <c r="AA169" s="481"/>
      <c r="AB169" s="481"/>
      <c r="AC169" s="481"/>
      <c r="AD169" s="481"/>
      <c r="AE169" s="482"/>
      <c r="AF169" s="483"/>
      <c r="AG169" s="175"/>
      <c r="AH169" s="175"/>
      <c r="AI169" s="175"/>
    </row>
    <row r="170" spans="2:35" customFormat="1" x14ac:dyDescent="0.25">
      <c r="B170" s="127"/>
      <c r="D170" s="234"/>
      <c r="E170" s="234"/>
      <c r="G170" s="17"/>
      <c r="H170" s="17"/>
      <c r="I170" s="17"/>
      <c r="J170" s="17"/>
      <c r="K170" s="17"/>
      <c r="L170" s="17"/>
      <c r="M170" s="17"/>
      <c r="N170" s="17"/>
      <c r="O170" s="17"/>
      <c r="V170" s="262"/>
      <c r="W170" s="74"/>
      <c r="X170" s="74"/>
      <c r="Y170" s="208"/>
      <c r="Z170" s="209"/>
      <c r="AA170" s="481"/>
      <c r="AB170" s="481"/>
      <c r="AC170" s="481"/>
      <c r="AD170" s="481"/>
      <c r="AE170" s="482"/>
      <c r="AF170" s="483"/>
      <c r="AG170" s="175"/>
      <c r="AH170" s="175"/>
      <c r="AI170" s="175"/>
    </row>
    <row r="171" spans="2:35" customFormat="1" x14ac:dyDescent="0.25">
      <c r="B171" s="127"/>
      <c r="D171" s="234"/>
      <c r="E171" s="234"/>
      <c r="G171" s="17"/>
      <c r="H171" s="17"/>
      <c r="I171" s="17"/>
      <c r="J171" s="17"/>
      <c r="K171" s="17"/>
      <c r="L171" s="17"/>
      <c r="M171" s="17"/>
      <c r="N171" s="17"/>
      <c r="O171" s="17"/>
      <c r="V171" s="262"/>
      <c r="W171" s="74"/>
      <c r="X171" s="74"/>
      <c r="Y171" s="208"/>
      <c r="Z171" s="209"/>
      <c r="AA171" s="481"/>
      <c r="AB171" s="481"/>
      <c r="AC171" s="481"/>
      <c r="AD171" s="481"/>
      <c r="AE171" s="482"/>
      <c r="AF171" s="483"/>
      <c r="AG171" s="175"/>
      <c r="AH171" s="175"/>
      <c r="AI171" s="175"/>
    </row>
    <row r="172" spans="2:35" customFormat="1" x14ac:dyDescent="0.25">
      <c r="B172" s="127"/>
      <c r="D172" s="234"/>
      <c r="E172" s="234"/>
      <c r="G172" s="17"/>
      <c r="H172" s="17"/>
      <c r="I172" s="17"/>
      <c r="J172" s="17"/>
      <c r="K172" s="17"/>
      <c r="L172" s="17"/>
      <c r="M172" s="17"/>
      <c r="N172" s="17"/>
      <c r="O172" s="17"/>
      <c r="V172" s="262"/>
      <c r="W172" s="74"/>
      <c r="X172" s="74"/>
      <c r="Y172" s="208"/>
      <c r="Z172" s="209"/>
      <c r="AA172" s="481"/>
      <c r="AB172" s="481"/>
      <c r="AC172" s="481"/>
      <c r="AD172" s="481"/>
      <c r="AE172" s="482"/>
      <c r="AF172" s="483"/>
      <c r="AG172" s="175"/>
      <c r="AH172" s="175"/>
      <c r="AI172" s="175"/>
    </row>
    <row r="173" spans="2:35" customFormat="1" x14ac:dyDescent="0.25">
      <c r="B173" s="127"/>
      <c r="D173" s="234"/>
      <c r="E173" s="234"/>
      <c r="G173" s="17"/>
      <c r="H173" s="17"/>
      <c r="I173" s="17"/>
      <c r="J173" s="17"/>
      <c r="K173" s="17"/>
      <c r="L173" s="17"/>
      <c r="M173" s="17"/>
      <c r="N173" s="17"/>
      <c r="O173" s="17"/>
      <c r="V173" s="262"/>
      <c r="W173" s="74"/>
      <c r="X173" s="74"/>
      <c r="Y173" s="208"/>
      <c r="Z173" s="209"/>
      <c r="AA173" s="481"/>
      <c r="AB173" s="481"/>
      <c r="AC173" s="481"/>
      <c r="AD173" s="481"/>
      <c r="AE173" s="482"/>
      <c r="AF173" s="483"/>
      <c r="AG173" s="175"/>
      <c r="AH173" s="175"/>
      <c r="AI173" s="175"/>
    </row>
    <row r="174" spans="2:35" customFormat="1" x14ac:dyDescent="0.25">
      <c r="B174" s="127"/>
      <c r="D174" s="234"/>
      <c r="E174" s="234"/>
      <c r="G174" s="17"/>
      <c r="H174" s="17"/>
      <c r="I174" s="17"/>
      <c r="J174" s="17"/>
      <c r="K174" s="17"/>
      <c r="L174" s="17"/>
      <c r="M174" s="17"/>
      <c r="N174" s="17"/>
      <c r="O174" s="17"/>
      <c r="V174" s="262"/>
      <c r="W174" s="74"/>
      <c r="X174" s="74"/>
      <c r="Y174" s="208"/>
      <c r="Z174" s="209"/>
      <c r="AA174" s="481"/>
      <c r="AB174" s="481"/>
      <c r="AC174" s="481"/>
      <c r="AD174" s="481"/>
      <c r="AE174" s="482"/>
      <c r="AF174" s="483"/>
      <c r="AG174" s="175"/>
      <c r="AH174" s="175"/>
      <c r="AI174" s="175"/>
    </row>
    <row r="175" spans="2:35" customFormat="1" x14ac:dyDescent="0.25">
      <c r="B175" s="127"/>
      <c r="D175" s="234"/>
      <c r="E175" s="234"/>
      <c r="G175" s="17"/>
      <c r="H175" s="17"/>
      <c r="I175" s="17"/>
      <c r="J175" s="17"/>
      <c r="K175" s="17"/>
      <c r="L175" s="17"/>
      <c r="M175" s="17"/>
      <c r="N175" s="17"/>
      <c r="O175" s="17"/>
      <c r="V175" s="262"/>
      <c r="W175" s="74"/>
      <c r="X175" s="74"/>
      <c r="Y175" s="208"/>
      <c r="Z175" s="209"/>
      <c r="AA175" s="481"/>
      <c r="AB175" s="481"/>
      <c r="AC175" s="481"/>
      <c r="AD175" s="481"/>
      <c r="AE175" s="482"/>
      <c r="AF175" s="483"/>
      <c r="AG175" s="175"/>
      <c r="AH175" s="175"/>
      <c r="AI175" s="175"/>
    </row>
    <row r="176" spans="2:35" customFormat="1" x14ac:dyDescent="0.25">
      <c r="B176" s="127"/>
      <c r="D176" s="234"/>
      <c r="E176" s="234"/>
      <c r="G176" s="17"/>
      <c r="H176" s="17"/>
      <c r="I176" s="17"/>
      <c r="J176" s="17"/>
      <c r="K176" s="17"/>
      <c r="L176" s="17"/>
      <c r="M176" s="17"/>
      <c r="N176" s="17"/>
      <c r="O176" s="17"/>
      <c r="V176" s="262"/>
      <c r="W176" s="74"/>
      <c r="X176" s="74"/>
      <c r="Y176" s="208"/>
      <c r="Z176" s="209"/>
      <c r="AA176" s="481"/>
      <c r="AB176" s="481"/>
      <c r="AC176" s="481"/>
      <c r="AD176" s="481"/>
      <c r="AE176" s="482"/>
      <c r="AF176" s="483"/>
      <c r="AG176" s="175"/>
      <c r="AH176" s="175"/>
      <c r="AI176" s="175"/>
    </row>
    <row r="177" spans="2:35" customFormat="1" x14ac:dyDescent="0.25">
      <c r="B177" s="127"/>
      <c r="D177" s="234"/>
      <c r="E177" s="234"/>
      <c r="G177" s="17"/>
      <c r="H177" s="17"/>
      <c r="I177" s="17"/>
      <c r="J177" s="17"/>
      <c r="K177" s="17"/>
      <c r="L177" s="17"/>
      <c r="M177" s="17"/>
      <c r="N177" s="17"/>
      <c r="O177" s="17"/>
      <c r="V177" s="262"/>
      <c r="W177" s="74"/>
      <c r="X177" s="74"/>
      <c r="Y177" s="208"/>
      <c r="Z177" s="209"/>
      <c r="AA177" s="481"/>
      <c r="AB177" s="481"/>
      <c r="AC177" s="481"/>
      <c r="AD177" s="481"/>
      <c r="AE177" s="482"/>
      <c r="AF177" s="483"/>
      <c r="AG177" s="175"/>
      <c r="AH177" s="175"/>
      <c r="AI177" s="175"/>
    </row>
    <row r="178" spans="2:35" customFormat="1" x14ac:dyDescent="0.25">
      <c r="B178" s="127"/>
      <c r="D178" s="234"/>
      <c r="E178" s="234"/>
      <c r="G178" s="17"/>
      <c r="H178" s="17"/>
      <c r="I178" s="17"/>
      <c r="J178" s="17"/>
      <c r="K178" s="17"/>
      <c r="L178" s="17"/>
      <c r="M178" s="17"/>
      <c r="N178" s="17"/>
      <c r="O178" s="17"/>
      <c r="V178" s="262"/>
      <c r="W178" s="74"/>
      <c r="X178" s="74"/>
      <c r="Y178" s="208"/>
      <c r="Z178" s="209"/>
      <c r="AA178" s="481"/>
      <c r="AB178" s="481"/>
      <c r="AC178" s="481"/>
      <c r="AD178" s="481"/>
      <c r="AE178" s="482"/>
      <c r="AF178" s="483"/>
      <c r="AG178" s="175"/>
      <c r="AH178" s="175"/>
      <c r="AI178" s="175"/>
    </row>
    <row r="179" spans="2:35" customFormat="1" x14ac:dyDescent="0.25">
      <c r="B179" s="127"/>
      <c r="D179" s="234"/>
      <c r="E179" s="234"/>
      <c r="G179" s="17"/>
      <c r="H179" s="17"/>
      <c r="I179" s="17"/>
      <c r="J179" s="17"/>
      <c r="K179" s="17"/>
      <c r="L179" s="17"/>
      <c r="M179" s="17"/>
      <c r="N179" s="17"/>
      <c r="O179" s="17"/>
      <c r="V179" s="262"/>
      <c r="W179" s="74"/>
      <c r="X179" s="74"/>
      <c r="Y179" s="208"/>
      <c r="Z179" s="209"/>
      <c r="AA179" s="481"/>
      <c r="AB179" s="481"/>
      <c r="AC179" s="481"/>
      <c r="AD179" s="481"/>
      <c r="AE179" s="482"/>
      <c r="AF179" s="483"/>
      <c r="AG179" s="175"/>
      <c r="AH179" s="175"/>
      <c r="AI179" s="175"/>
    </row>
    <row r="180" spans="2:35" customFormat="1" x14ac:dyDescent="0.25">
      <c r="B180" s="127"/>
      <c r="D180" s="234"/>
      <c r="E180" s="234"/>
      <c r="G180" s="17"/>
      <c r="H180" s="17"/>
      <c r="I180" s="17"/>
      <c r="J180" s="17"/>
      <c r="K180" s="17"/>
      <c r="L180" s="17"/>
      <c r="M180" s="17"/>
      <c r="N180" s="17"/>
      <c r="O180" s="17"/>
      <c r="V180" s="262"/>
      <c r="W180" s="74"/>
      <c r="X180" s="74"/>
      <c r="Y180" s="208"/>
      <c r="Z180" s="209"/>
      <c r="AA180" s="481"/>
      <c r="AB180" s="481"/>
      <c r="AC180" s="481"/>
      <c r="AD180" s="481"/>
      <c r="AE180" s="482"/>
      <c r="AF180" s="483"/>
      <c r="AG180" s="175"/>
      <c r="AH180" s="175"/>
      <c r="AI180" s="175"/>
    </row>
    <row r="181" spans="2:35" customFormat="1" x14ac:dyDescent="0.25">
      <c r="B181" s="127"/>
      <c r="D181" s="234"/>
      <c r="E181" s="234"/>
      <c r="G181" s="17"/>
      <c r="H181" s="17"/>
      <c r="I181" s="17"/>
      <c r="J181" s="17"/>
      <c r="K181" s="17"/>
      <c r="L181" s="17"/>
      <c r="M181" s="17"/>
      <c r="N181" s="17"/>
      <c r="O181" s="17"/>
      <c r="V181" s="262"/>
      <c r="W181" s="74"/>
      <c r="X181" s="74"/>
      <c r="Y181" s="208"/>
      <c r="Z181" s="209"/>
      <c r="AA181" s="481"/>
      <c r="AB181" s="481"/>
      <c r="AC181" s="481"/>
      <c r="AD181" s="481"/>
      <c r="AE181" s="482"/>
      <c r="AF181" s="483"/>
      <c r="AG181" s="175"/>
      <c r="AH181" s="175"/>
      <c r="AI181" s="175"/>
    </row>
    <row r="182" spans="2:35" customFormat="1" x14ac:dyDescent="0.25">
      <c r="B182" s="127"/>
      <c r="D182" s="234"/>
      <c r="E182" s="234"/>
      <c r="G182" s="17"/>
      <c r="H182" s="17"/>
      <c r="I182" s="17"/>
      <c r="J182" s="17"/>
      <c r="K182" s="17"/>
      <c r="L182" s="17"/>
      <c r="M182" s="17"/>
      <c r="N182" s="17"/>
      <c r="O182" s="17"/>
      <c r="V182" s="262"/>
      <c r="W182" s="74"/>
      <c r="X182" s="74"/>
      <c r="Y182" s="208"/>
      <c r="Z182" s="209"/>
      <c r="AA182" s="481"/>
      <c r="AB182" s="481"/>
      <c r="AC182" s="481"/>
      <c r="AD182" s="481"/>
      <c r="AE182" s="482"/>
      <c r="AF182" s="483"/>
      <c r="AG182" s="175"/>
      <c r="AH182" s="175"/>
      <c r="AI182" s="175"/>
    </row>
    <row r="183" spans="2:35" customFormat="1" x14ac:dyDescent="0.25">
      <c r="B183" s="127"/>
      <c r="D183" s="234"/>
      <c r="E183" s="234"/>
      <c r="G183" s="17"/>
      <c r="H183" s="17"/>
      <c r="I183" s="17"/>
      <c r="J183" s="17"/>
      <c r="K183" s="17"/>
      <c r="L183" s="17"/>
      <c r="M183" s="17"/>
      <c r="N183" s="17"/>
      <c r="O183" s="17"/>
      <c r="V183" s="262"/>
      <c r="W183" s="74"/>
      <c r="X183" s="74"/>
      <c r="Y183" s="208"/>
      <c r="Z183" s="209"/>
      <c r="AA183" s="481"/>
      <c r="AB183" s="481"/>
      <c r="AC183" s="481"/>
      <c r="AD183" s="481"/>
      <c r="AE183" s="482"/>
      <c r="AF183" s="483"/>
      <c r="AG183" s="175"/>
      <c r="AH183" s="175"/>
      <c r="AI183" s="175"/>
    </row>
    <row r="184" spans="2:35" customFormat="1" x14ac:dyDescent="0.25">
      <c r="B184" s="127"/>
      <c r="D184" s="234"/>
      <c r="E184" s="234"/>
      <c r="G184" s="17"/>
      <c r="H184" s="17"/>
      <c r="I184" s="17"/>
      <c r="J184" s="17"/>
      <c r="K184" s="17"/>
      <c r="L184" s="17"/>
      <c r="M184" s="17"/>
      <c r="N184" s="17"/>
      <c r="O184" s="17"/>
      <c r="V184" s="262"/>
      <c r="W184" s="74"/>
      <c r="X184" s="74"/>
      <c r="Y184" s="208"/>
      <c r="Z184" s="209"/>
      <c r="AA184" s="481"/>
      <c r="AB184" s="481"/>
      <c r="AC184" s="481"/>
      <c r="AD184" s="481"/>
      <c r="AE184" s="482"/>
      <c r="AF184" s="483"/>
      <c r="AG184" s="175"/>
      <c r="AH184" s="175"/>
      <c r="AI184" s="175"/>
    </row>
    <row r="185" spans="2:35" customFormat="1" x14ac:dyDescent="0.25">
      <c r="B185" s="127"/>
      <c r="D185" s="234"/>
      <c r="E185" s="234"/>
      <c r="G185" s="17"/>
      <c r="H185" s="17"/>
      <c r="I185" s="17"/>
      <c r="J185" s="17"/>
      <c r="K185" s="17"/>
      <c r="L185" s="17"/>
      <c r="M185" s="17"/>
      <c r="N185" s="17"/>
      <c r="O185" s="17"/>
      <c r="V185" s="262"/>
      <c r="W185" s="74"/>
      <c r="X185" s="74"/>
      <c r="Y185" s="208"/>
      <c r="Z185" s="209"/>
      <c r="AA185" s="481"/>
      <c r="AB185" s="481"/>
      <c r="AC185" s="481"/>
      <c r="AD185" s="481"/>
      <c r="AE185" s="482"/>
      <c r="AF185" s="483"/>
      <c r="AG185" s="175"/>
      <c r="AH185" s="175"/>
      <c r="AI185" s="175"/>
    </row>
    <row r="186" spans="2:35" customFormat="1" x14ac:dyDescent="0.25">
      <c r="B186" s="127"/>
      <c r="D186" s="234"/>
      <c r="E186" s="234"/>
      <c r="G186" s="17"/>
      <c r="H186" s="17"/>
      <c r="I186" s="17"/>
      <c r="J186" s="17"/>
      <c r="K186" s="17"/>
      <c r="L186" s="17"/>
      <c r="M186" s="17"/>
      <c r="N186" s="17"/>
      <c r="O186" s="17"/>
      <c r="V186" s="262"/>
      <c r="W186" s="74"/>
      <c r="X186" s="74"/>
      <c r="Y186" s="208"/>
      <c r="Z186" s="209"/>
      <c r="AA186" s="481"/>
      <c r="AB186" s="481"/>
      <c r="AC186" s="481"/>
      <c r="AD186" s="481"/>
      <c r="AE186" s="482"/>
      <c r="AF186" s="483"/>
      <c r="AG186" s="175"/>
      <c r="AH186" s="175"/>
      <c r="AI186" s="175"/>
    </row>
    <row r="187" spans="2:35" customFormat="1" x14ac:dyDescent="0.25">
      <c r="B187" s="127"/>
      <c r="D187" s="234"/>
      <c r="E187" s="234"/>
      <c r="G187" s="17"/>
      <c r="H187" s="17"/>
      <c r="I187" s="17"/>
      <c r="J187" s="17"/>
      <c r="K187" s="17"/>
      <c r="L187" s="17"/>
      <c r="M187" s="17"/>
      <c r="N187" s="17"/>
      <c r="O187" s="17"/>
      <c r="V187" s="262"/>
      <c r="W187" s="74"/>
      <c r="X187" s="74"/>
      <c r="Y187" s="208"/>
      <c r="Z187" s="209"/>
      <c r="AA187" s="481"/>
      <c r="AB187" s="481"/>
      <c r="AC187" s="481"/>
      <c r="AD187" s="481"/>
      <c r="AE187" s="482"/>
      <c r="AF187" s="483"/>
      <c r="AG187" s="175"/>
      <c r="AH187" s="175"/>
      <c r="AI187" s="175"/>
    </row>
    <row r="188" spans="2:35" customFormat="1" x14ac:dyDescent="0.25">
      <c r="B188" s="127"/>
      <c r="D188" s="234"/>
      <c r="E188" s="234"/>
      <c r="G188" s="17"/>
      <c r="H188" s="17"/>
      <c r="I188" s="17"/>
      <c r="J188" s="17"/>
      <c r="K188" s="17"/>
      <c r="L188" s="17"/>
      <c r="M188" s="17"/>
      <c r="N188" s="17"/>
      <c r="O188" s="17"/>
      <c r="V188" s="262"/>
      <c r="W188" s="74"/>
      <c r="X188" s="74"/>
      <c r="Y188" s="208"/>
      <c r="Z188" s="209"/>
      <c r="AA188" s="481"/>
      <c r="AB188" s="481"/>
      <c r="AC188" s="481"/>
      <c r="AD188" s="481"/>
      <c r="AE188" s="482"/>
      <c r="AF188" s="483"/>
      <c r="AG188" s="175"/>
      <c r="AH188" s="175"/>
      <c r="AI188" s="175"/>
    </row>
    <row r="189" spans="2:35" customFormat="1" x14ac:dyDescent="0.25">
      <c r="B189" s="127"/>
      <c r="D189" s="234"/>
      <c r="E189" s="234"/>
      <c r="G189" s="17"/>
      <c r="H189" s="17"/>
      <c r="I189" s="17"/>
      <c r="J189" s="17"/>
      <c r="K189" s="17"/>
      <c r="L189" s="17"/>
      <c r="M189" s="17"/>
      <c r="N189" s="17"/>
      <c r="O189" s="17"/>
      <c r="V189" s="262"/>
      <c r="W189" s="74"/>
      <c r="X189" s="74"/>
      <c r="Y189" s="208"/>
      <c r="Z189" s="209"/>
      <c r="AA189" s="481"/>
      <c r="AB189" s="481"/>
      <c r="AC189" s="481"/>
      <c r="AD189" s="481"/>
      <c r="AE189" s="482"/>
      <c r="AF189" s="483"/>
      <c r="AG189" s="175"/>
      <c r="AH189" s="175"/>
      <c r="AI189" s="175"/>
    </row>
    <row r="190" spans="2:35" customFormat="1" x14ac:dyDescent="0.25">
      <c r="B190" s="127"/>
      <c r="D190" s="234"/>
      <c r="E190" s="234"/>
      <c r="G190" s="17"/>
      <c r="H190" s="17"/>
      <c r="I190" s="17"/>
      <c r="J190" s="17"/>
      <c r="K190" s="17"/>
      <c r="L190" s="17"/>
      <c r="M190" s="17"/>
      <c r="N190" s="17"/>
      <c r="O190" s="17"/>
      <c r="V190" s="262"/>
      <c r="W190" s="74"/>
      <c r="X190" s="74"/>
      <c r="Y190" s="208"/>
      <c r="Z190" s="209"/>
      <c r="AA190" s="481"/>
      <c r="AB190" s="481"/>
      <c r="AC190" s="481"/>
      <c r="AD190" s="481"/>
      <c r="AE190" s="482"/>
      <c r="AF190" s="483"/>
      <c r="AG190" s="175"/>
      <c r="AH190" s="175"/>
      <c r="AI190" s="175"/>
    </row>
    <row r="191" spans="2:35" customFormat="1" x14ac:dyDescent="0.25">
      <c r="B191" s="127"/>
      <c r="D191" s="234"/>
      <c r="E191" s="234"/>
      <c r="G191" s="17"/>
      <c r="H191" s="17"/>
      <c r="I191" s="17"/>
      <c r="J191" s="17"/>
      <c r="K191" s="17"/>
      <c r="L191" s="17"/>
      <c r="M191" s="17"/>
      <c r="N191" s="17"/>
      <c r="O191" s="17"/>
      <c r="V191" s="262"/>
      <c r="W191" s="74"/>
      <c r="X191" s="74"/>
      <c r="Y191" s="208"/>
      <c r="Z191" s="209"/>
      <c r="AA191" s="481"/>
      <c r="AB191" s="481"/>
      <c r="AC191" s="481"/>
      <c r="AD191" s="481"/>
      <c r="AE191" s="482"/>
      <c r="AF191" s="483"/>
      <c r="AG191" s="175"/>
      <c r="AH191" s="175"/>
      <c r="AI191" s="175"/>
    </row>
    <row r="192" spans="2:35" customFormat="1" x14ac:dyDescent="0.25">
      <c r="B192" s="127"/>
      <c r="D192" s="234"/>
      <c r="E192" s="234"/>
      <c r="G192" s="17"/>
      <c r="H192" s="17"/>
      <c r="I192" s="17"/>
      <c r="J192" s="17"/>
      <c r="K192" s="17"/>
      <c r="L192" s="17"/>
      <c r="M192" s="17"/>
      <c r="N192" s="17"/>
      <c r="O192" s="17"/>
      <c r="V192" s="262"/>
      <c r="W192" s="74"/>
      <c r="X192" s="74"/>
      <c r="Y192" s="208"/>
      <c r="Z192" s="209"/>
      <c r="AA192" s="481"/>
      <c r="AB192" s="481"/>
      <c r="AC192" s="481"/>
      <c r="AD192" s="481"/>
      <c r="AE192" s="482"/>
      <c r="AF192" s="483"/>
      <c r="AG192" s="175"/>
      <c r="AH192" s="175"/>
      <c r="AI192" s="175"/>
    </row>
    <row r="193" spans="2:35" customFormat="1" x14ac:dyDescent="0.25">
      <c r="B193" s="127"/>
      <c r="D193" s="234"/>
      <c r="E193" s="234"/>
      <c r="G193" s="17"/>
      <c r="H193" s="17"/>
      <c r="I193" s="17"/>
      <c r="J193" s="17"/>
      <c r="K193" s="17"/>
      <c r="L193" s="17"/>
      <c r="M193" s="17"/>
      <c r="N193" s="17"/>
      <c r="O193" s="17"/>
      <c r="V193" s="262"/>
      <c r="W193" s="74"/>
      <c r="X193" s="74"/>
      <c r="Y193" s="208"/>
      <c r="Z193" s="209"/>
      <c r="AA193" s="481"/>
      <c r="AB193" s="481"/>
      <c r="AC193" s="481"/>
      <c r="AD193" s="481"/>
      <c r="AE193" s="482"/>
      <c r="AF193" s="483"/>
      <c r="AG193" s="175"/>
      <c r="AH193" s="175"/>
      <c r="AI193" s="175"/>
    </row>
    <row r="194" spans="2:35" customFormat="1" x14ac:dyDescent="0.25">
      <c r="B194" s="127"/>
      <c r="D194" s="234"/>
      <c r="E194" s="234"/>
      <c r="G194" s="17"/>
      <c r="H194" s="17"/>
      <c r="I194" s="17"/>
      <c r="J194" s="17"/>
      <c r="K194" s="17"/>
      <c r="L194" s="17"/>
      <c r="M194" s="17"/>
      <c r="N194" s="17"/>
      <c r="O194" s="17"/>
      <c r="V194" s="262"/>
      <c r="W194" s="74"/>
      <c r="X194" s="74"/>
      <c r="Y194" s="208"/>
      <c r="Z194" s="209"/>
      <c r="AA194" s="481"/>
      <c r="AB194" s="481"/>
      <c r="AC194" s="481"/>
      <c r="AD194" s="481"/>
      <c r="AE194" s="482"/>
      <c r="AF194" s="483"/>
      <c r="AG194" s="175"/>
      <c r="AH194" s="175"/>
      <c r="AI194" s="175"/>
    </row>
    <row r="195" spans="2:35" customFormat="1" x14ac:dyDescent="0.25">
      <c r="B195" s="127"/>
      <c r="D195" s="234"/>
      <c r="E195" s="234"/>
      <c r="G195" s="17"/>
      <c r="H195" s="17"/>
      <c r="I195" s="17"/>
      <c r="J195" s="17"/>
      <c r="K195" s="17"/>
      <c r="L195" s="17"/>
      <c r="M195" s="17"/>
      <c r="N195" s="17"/>
      <c r="O195" s="17"/>
      <c r="V195" s="262"/>
      <c r="W195" s="74"/>
      <c r="X195" s="74"/>
      <c r="Y195" s="208"/>
      <c r="Z195" s="209"/>
      <c r="AA195" s="481"/>
      <c r="AB195" s="481"/>
      <c r="AC195" s="481"/>
      <c r="AD195" s="481"/>
      <c r="AE195" s="482"/>
      <c r="AF195" s="483"/>
      <c r="AG195" s="175"/>
      <c r="AH195" s="175"/>
      <c r="AI195" s="175"/>
    </row>
    <row r="196" spans="2:35" customFormat="1" x14ac:dyDescent="0.25">
      <c r="B196" s="127"/>
      <c r="D196" s="234"/>
      <c r="E196" s="234"/>
      <c r="G196" s="17"/>
      <c r="H196" s="17"/>
      <c r="I196" s="17"/>
      <c r="J196" s="17"/>
      <c r="K196" s="17"/>
      <c r="L196" s="17"/>
      <c r="M196" s="17"/>
      <c r="N196" s="17"/>
      <c r="O196" s="17"/>
      <c r="V196" s="262"/>
      <c r="W196" s="74"/>
      <c r="X196" s="74"/>
      <c r="Y196" s="208"/>
      <c r="Z196" s="209"/>
      <c r="AA196" s="481"/>
      <c r="AB196" s="481"/>
      <c r="AC196" s="481"/>
      <c r="AD196" s="481"/>
      <c r="AE196" s="482"/>
      <c r="AF196" s="483"/>
      <c r="AG196" s="175"/>
      <c r="AH196" s="175"/>
      <c r="AI196" s="175"/>
    </row>
    <row r="197" spans="2:35" customFormat="1" x14ac:dyDescent="0.25">
      <c r="B197" s="127"/>
      <c r="D197" s="234"/>
      <c r="E197" s="234"/>
      <c r="G197" s="17"/>
      <c r="H197" s="17"/>
      <c r="I197" s="17"/>
      <c r="J197" s="17"/>
      <c r="K197" s="17"/>
      <c r="L197" s="17"/>
      <c r="M197" s="17"/>
      <c r="N197" s="17"/>
      <c r="O197" s="17"/>
      <c r="V197" s="262"/>
      <c r="W197" s="74"/>
      <c r="X197" s="74"/>
      <c r="Y197" s="208"/>
      <c r="Z197" s="209"/>
      <c r="AA197" s="481"/>
      <c r="AB197" s="481"/>
      <c r="AC197" s="481"/>
      <c r="AD197" s="481"/>
      <c r="AE197" s="482"/>
      <c r="AF197" s="483"/>
      <c r="AG197" s="175"/>
      <c r="AH197" s="175"/>
      <c r="AI197" s="175"/>
    </row>
    <row r="198" spans="2:35" customFormat="1" x14ac:dyDescent="0.25">
      <c r="B198" s="127"/>
      <c r="D198" s="234"/>
      <c r="E198" s="234"/>
      <c r="G198" s="17"/>
      <c r="H198" s="17"/>
      <c r="I198" s="17"/>
      <c r="J198" s="17"/>
      <c r="K198" s="17"/>
      <c r="L198" s="17"/>
      <c r="M198" s="17"/>
      <c r="N198" s="17"/>
      <c r="O198" s="17"/>
      <c r="V198" s="262"/>
      <c r="W198" s="74"/>
      <c r="X198" s="74"/>
      <c r="Y198" s="208"/>
      <c r="Z198" s="209"/>
      <c r="AA198" s="481"/>
      <c r="AB198" s="481"/>
      <c r="AC198" s="481"/>
      <c r="AD198" s="481"/>
      <c r="AE198" s="482"/>
      <c r="AF198" s="483"/>
      <c r="AG198" s="175"/>
      <c r="AH198" s="175"/>
      <c r="AI198" s="175"/>
    </row>
    <row r="199" spans="2:35" customFormat="1" x14ac:dyDescent="0.25">
      <c r="B199" s="127"/>
      <c r="D199" s="234"/>
      <c r="E199" s="234"/>
      <c r="G199" s="17"/>
      <c r="H199" s="17"/>
      <c r="I199" s="17"/>
      <c r="J199" s="17"/>
      <c r="K199" s="17"/>
      <c r="L199" s="17"/>
      <c r="M199" s="17"/>
      <c r="N199" s="17"/>
      <c r="O199" s="17"/>
      <c r="V199" s="262"/>
      <c r="W199" s="74"/>
      <c r="X199" s="74"/>
      <c r="Y199" s="208"/>
      <c r="Z199" s="209"/>
      <c r="AA199" s="481"/>
      <c r="AB199" s="481"/>
      <c r="AC199" s="481"/>
      <c r="AD199" s="481"/>
      <c r="AE199" s="482"/>
      <c r="AF199" s="483"/>
      <c r="AG199" s="175"/>
      <c r="AH199" s="175"/>
      <c r="AI199" s="175"/>
    </row>
    <row r="200" spans="2:35" customFormat="1" x14ac:dyDescent="0.25">
      <c r="B200" s="127"/>
      <c r="D200" s="234"/>
      <c r="E200" s="234"/>
      <c r="G200" s="17"/>
      <c r="H200" s="17"/>
      <c r="I200" s="17"/>
      <c r="J200" s="17"/>
      <c r="K200" s="17"/>
      <c r="L200" s="17"/>
      <c r="M200" s="17"/>
      <c r="N200" s="17"/>
      <c r="O200" s="17"/>
      <c r="V200" s="262"/>
      <c r="W200" s="74"/>
      <c r="X200" s="74"/>
      <c r="Y200" s="208"/>
      <c r="Z200" s="209"/>
      <c r="AA200" s="481"/>
      <c r="AB200" s="481"/>
      <c r="AC200" s="481"/>
      <c r="AD200" s="481"/>
      <c r="AE200" s="482"/>
      <c r="AF200" s="483"/>
      <c r="AG200" s="175"/>
      <c r="AH200" s="175"/>
      <c r="AI200" s="175"/>
    </row>
    <row r="201" spans="2:35" customFormat="1" x14ac:dyDescent="0.25">
      <c r="B201" s="127"/>
      <c r="D201" s="234"/>
      <c r="E201" s="234"/>
      <c r="G201" s="17"/>
      <c r="H201" s="17"/>
      <c r="I201" s="17"/>
      <c r="J201" s="17"/>
      <c r="K201" s="17"/>
      <c r="L201" s="17"/>
      <c r="M201" s="17"/>
      <c r="N201" s="17"/>
      <c r="O201" s="17"/>
      <c r="V201" s="262"/>
      <c r="W201" s="74"/>
      <c r="X201" s="74"/>
      <c r="Y201" s="208"/>
      <c r="Z201" s="209"/>
      <c r="AA201" s="481"/>
      <c r="AB201" s="481"/>
      <c r="AC201" s="481"/>
      <c r="AD201" s="481"/>
      <c r="AE201" s="482"/>
      <c r="AF201" s="483"/>
      <c r="AG201" s="175"/>
      <c r="AH201" s="175"/>
      <c r="AI201" s="175"/>
    </row>
    <row r="202" spans="2:35" customFormat="1" x14ac:dyDescent="0.25">
      <c r="B202" s="127"/>
      <c r="D202" s="234"/>
      <c r="E202" s="234"/>
      <c r="G202" s="17"/>
      <c r="H202" s="17"/>
      <c r="I202" s="17"/>
      <c r="J202" s="17"/>
      <c r="K202" s="17"/>
      <c r="L202" s="17"/>
      <c r="M202" s="17"/>
      <c r="N202" s="17"/>
      <c r="O202" s="17"/>
      <c r="V202" s="262"/>
      <c r="W202" s="74"/>
      <c r="X202" s="74"/>
      <c r="Y202" s="208"/>
      <c r="Z202" s="209"/>
      <c r="AA202" s="481"/>
      <c r="AB202" s="481"/>
      <c r="AC202" s="481"/>
      <c r="AD202" s="481"/>
      <c r="AE202" s="482"/>
      <c r="AF202" s="483"/>
      <c r="AG202" s="175"/>
      <c r="AH202" s="175"/>
      <c r="AI202" s="175"/>
    </row>
    <row r="203" spans="2:35" customFormat="1" x14ac:dyDescent="0.25">
      <c r="B203" s="127"/>
      <c r="D203" s="234"/>
      <c r="E203" s="234"/>
      <c r="G203" s="17"/>
      <c r="H203" s="17"/>
      <c r="I203" s="17"/>
      <c r="J203" s="17"/>
      <c r="K203" s="17"/>
      <c r="L203" s="17"/>
      <c r="M203" s="17"/>
      <c r="N203" s="17"/>
      <c r="O203" s="17"/>
      <c r="V203" s="262"/>
      <c r="W203" s="254"/>
      <c r="X203" s="254"/>
      <c r="Y203" s="154"/>
      <c r="Z203" s="6"/>
      <c r="AA203" s="481"/>
      <c r="AB203" s="481"/>
      <c r="AC203" s="481"/>
      <c r="AD203" s="481"/>
      <c r="AE203" s="482"/>
      <c r="AF203" s="483"/>
      <c r="AG203" s="175"/>
      <c r="AH203" s="175"/>
      <c r="AI203" s="175"/>
    </row>
    <row r="204" spans="2:35" customFormat="1" x14ac:dyDescent="0.25">
      <c r="B204" s="127"/>
      <c r="D204" s="234"/>
      <c r="E204" s="234"/>
      <c r="G204" s="17"/>
      <c r="H204" s="17"/>
      <c r="I204" s="17"/>
      <c r="J204" s="17"/>
      <c r="K204" s="17"/>
      <c r="L204" s="17"/>
      <c r="M204" s="17"/>
      <c r="N204" s="17"/>
      <c r="O204" s="17"/>
      <c r="V204" s="262"/>
      <c r="W204" s="254"/>
      <c r="X204" s="254"/>
      <c r="Y204" s="154"/>
      <c r="Z204" s="6"/>
      <c r="AA204" s="481"/>
      <c r="AB204" s="481"/>
      <c r="AC204" s="481"/>
      <c r="AD204" s="481"/>
      <c r="AE204" s="482"/>
      <c r="AF204" s="483"/>
      <c r="AG204" s="175"/>
      <c r="AH204" s="175"/>
      <c r="AI204" s="175"/>
    </row>
    <row r="205" spans="2:35" customFormat="1" x14ac:dyDescent="0.25">
      <c r="B205" s="127"/>
      <c r="D205" s="234"/>
      <c r="E205" s="234"/>
      <c r="G205" s="17"/>
      <c r="H205" s="17"/>
      <c r="I205" s="17"/>
      <c r="J205" s="17"/>
      <c r="K205" s="17"/>
      <c r="L205" s="17"/>
      <c r="M205" s="17"/>
      <c r="N205" s="17"/>
      <c r="O205" s="17"/>
      <c r="V205" s="262"/>
      <c r="W205" s="254"/>
      <c r="X205" s="254"/>
      <c r="Y205" s="154"/>
      <c r="Z205" s="6"/>
      <c r="AA205" s="481"/>
      <c r="AB205" s="481"/>
      <c r="AC205" s="481"/>
      <c r="AD205" s="481"/>
      <c r="AE205" s="482"/>
      <c r="AF205" s="483"/>
      <c r="AG205" s="175"/>
      <c r="AH205" s="175"/>
      <c r="AI205" s="175"/>
    </row>
    <row r="206" spans="2:35" customFormat="1" x14ac:dyDescent="0.25">
      <c r="B206" s="127"/>
      <c r="D206" s="234"/>
      <c r="E206" s="234"/>
      <c r="G206" s="17"/>
      <c r="H206" s="17"/>
      <c r="I206" s="17"/>
      <c r="J206" s="17"/>
      <c r="K206" s="17"/>
      <c r="L206" s="17"/>
      <c r="M206" s="17"/>
      <c r="N206" s="17"/>
      <c r="O206" s="17"/>
      <c r="V206" s="262"/>
      <c r="W206" s="254"/>
      <c r="X206" s="254"/>
      <c r="Y206" s="154"/>
      <c r="Z206" s="6"/>
      <c r="AA206" s="481"/>
      <c r="AB206" s="481"/>
      <c r="AC206" s="481"/>
      <c r="AD206" s="481"/>
      <c r="AE206" s="482"/>
      <c r="AF206" s="483"/>
      <c r="AG206" s="175"/>
      <c r="AH206" s="175"/>
      <c r="AI206" s="175"/>
    </row>
    <row r="207" spans="2:35" customFormat="1" x14ac:dyDescent="0.25">
      <c r="B207" s="127"/>
      <c r="D207" s="234"/>
      <c r="E207" s="234"/>
      <c r="G207" s="17"/>
      <c r="H207" s="17"/>
      <c r="I207" s="17"/>
      <c r="J207" s="17"/>
      <c r="K207" s="17"/>
      <c r="L207" s="17"/>
      <c r="M207" s="17"/>
      <c r="N207" s="17"/>
      <c r="O207" s="17"/>
      <c r="V207" s="262"/>
      <c r="W207" s="254"/>
      <c r="X207" s="254"/>
      <c r="Y207" s="154"/>
      <c r="Z207" s="6"/>
      <c r="AA207" s="481"/>
      <c r="AB207" s="481"/>
      <c r="AC207" s="481"/>
      <c r="AD207" s="481"/>
      <c r="AE207" s="482"/>
      <c r="AF207" s="483"/>
      <c r="AG207" s="175"/>
      <c r="AH207" s="175"/>
      <c r="AI207" s="175"/>
    </row>
    <row r="208" spans="2:35" customFormat="1" x14ac:dyDescent="0.25">
      <c r="B208" s="127"/>
      <c r="D208" s="234"/>
      <c r="E208" s="234"/>
      <c r="G208" s="17"/>
      <c r="H208" s="17"/>
      <c r="I208" s="17"/>
      <c r="J208" s="17"/>
      <c r="K208" s="17"/>
      <c r="L208" s="17"/>
      <c r="M208" s="17"/>
      <c r="N208" s="17"/>
      <c r="O208" s="17"/>
      <c r="V208" s="262"/>
      <c r="W208" s="254"/>
      <c r="X208" s="254"/>
      <c r="Y208" s="154"/>
      <c r="Z208" s="6"/>
      <c r="AA208" s="481"/>
      <c r="AB208" s="481"/>
      <c r="AC208" s="481"/>
      <c r="AD208" s="481"/>
      <c r="AE208" s="482"/>
      <c r="AF208" s="483"/>
      <c r="AG208" s="175"/>
      <c r="AH208" s="175"/>
      <c r="AI208" s="175"/>
    </row>
    <row r="209" spans="2:35" customFormat="1" x14ac:dyDescent="0.25">
      <c r="B209" s="127"/>
      <c r="D209" s="234"/>
      <c r="E209" s="234"/>
      <c r="G209" s="17"/>
      <c r="H209" s="17"/>
      <c r="I209" s="17"/>
      <c r="J209" s="17"/>
      <c r="K209" s="17"/>
      <c r="L209" s="17"/>
      <c r="M209" s="17"/>
      <c r="N209" s="17"/>
      <c r="O209" s="17"/>
      <c r="V209" s="262"/>
      <c r="W209" s="254"/>
      <c r="X209" s="254"/>
      <c r="Y209" s="154"/>
      <c r="Z209" s="6"/>
      <c r="AA209" s="481"/>
      <c r="AB209" s="481"/>
      <c r="AC209" s="481"/>
      <c r="AD209" s="481"/>
      <c r="AE209" s="482"/>
      <c r="AF209" s="483"/>
      <c r="AG209" s="175"/>
      <c r="AH209" s="175"/>
      <c r="AI209" s="175"/>
    </row>
    <row r="210" spans="2:35" customFormat="1" x14ac:dyDescent="0.25">
      <c r="B210" s="127"/>
      <c r="D210" s="234"/>
      <c r="E210" s="234"/>
      <c r="G210" s="17"/>
      <c r="H210" s="17"/>
      <c r="I210" s="17"/>
      <c r="J210" s="17"/>
      <c r="K210" s="17"/>
      <c r="L210" s="17"/>
      <c r="M210" s="17"/>
      <c r="N210" s="17"/>
      <c r="O210" s="17"/>
      <c r="V210" s="262"/>
      <c r="W210" s="254"/>
      <c r="X210" s="254"/>
      <c r="Y210" s="154"/>
      <c r="Z210" s="6"/>
      <c r="AA210" s="481"/>
      <c r="AB210" s="481"/>
      <c r="AC210" s="481"/>
      <c r="AD210" s="481"/>
      <c r="AE210" s="482"/>
      <c r="AF210" s="483"/>
      <c r="AG210" s="175"/>
      <c r="AH210" s="175"/>
      <c r="AI210" s="175"/>
    </row>
    <row r="211" spans="2:35" customFormat="1" x14ac:dyDescent="0.25">
      <c r="B211" s="127"/>
      <c r="D211" s="234"/>
      <c r="E211" s="234"/>
      <c r="G211" s="17"/>
      <c r="H211" s="17"/>
      <c r="I211" s="17"/>
      <c r="J211" s="17"/>
      <c r="K211" s="17"/>
      <c r="L211" s="17"/>
      <c r="M211" s="17"/>
      <c r="N211" s="17"/>
      <c r="O211" s="17"/>
      <c r="V211" s="262"/>
      <c r="W211" s="254"/>
      <c r="X211" s="254"/>
      <c r="Y211" s="154"/>
      <c r="Z211" s="6"/>
      <c r="AA211" s="481"/>
      <c r="AB211" s="481"/>
      <c r="AC211" s="481"/>
      <c r="AD211" s="481"/>
      <c r="AE211" s="482"/>
      <c r="AF211" s="483"/>
      <c r="AG211" s="175"/>
      <c r="AH211" s="175"/>
      <c r="AI211" s="175"/>
    </row>
    <row r="212" spans="2:35" customFormat="1" x14ac:dyDescent="0.25">
      <c r="B212" s="127"/>
      <c r="D212" s="234"/>
      <c r="E212" s="234"/>
      <c r="G212" s="17"/>
      <c r="H212" s="17"/>
      <c r="I212" s="17"/>
      <c r="J212" s="17"/>
      <c r="K212" s="17"/>
      <c r="L212" s="17"/>
      <c r="M212" s="17"/>
      <c r="N212" s="17"/>
      <c r="O212" s="17"/>
      <c r="V212" s="262"/>
      <c r="W212" s="254"/>
      <c r="X212" s="254"/>
      <c r="Y212" s="154"/>
      <c r="Z212" s="6"/>
      <c r="AA212" s="481"/>
      <c r="AB212" s="481"/>
      <c r="AC212" s="481"/>
      <c r="AD212" s="481"/>
      <c r="AE212" s="482"/>
      <c r="AF212" s="483"/>
      <c r="AG212" s="175"/>
      <c r="AH212" s="175"/>
      <c r="AI212" s="175"/>
    </row>
    <row r="213" spans="2:35" customFormat="1" x14ac:dyDescent="0.25">
      <c r="B213" s="127"/>
      <c r="D213" s="234"/>
      <c r="E213" s="234"/>
      <c r="G213" s="17"/>
      <c r="H213" s="17"/>
      <c r="I213" s="17"/>
      <c r="J213" s="17"/>
      <c r="K213" s="17"/>
      <c r="L213" s="17"/>
      <c r="M213" s="17"/>
      <c r="N213" s="17"/>
      <c r="O213" s="17"/>
      <c r="V213" s="262"/>
      <c r="W213" s="254"/>
      <c r="X213" s="254"/>
      <c r="Y213" s="154"/>
      <c r="Z213" s="6"/>
      <c r="AA213" s="481"/>
      <c r="AB213" s="481"/>
      <c r="AC213" s="481"/>
      <c r="AD213" s="481"/>
      <c r="AE213" s="482"/>
      <c r="AF213" s="483"/>
      <c r="AG213" s="175"/>
      <c r="AH213" s="175"/>
      <c r="AI213" s="175"/>
    </row>
    <row r="214" spans="2:35" customFormat="1" x14ac:dyDescent="0.25">
      <c r="B214" s="127"/>
      <c r="D214" s="234"/>
      <c r="E214" s="234"/>
      <c r="G214" s="17"/>
      <c r="H214" s="17"/>
      <c r="I214" s="17"/>
      <c r="J214" s="17"/>
      <c r="K214" s="17"/>
      <c r="L214" s="17"/>
      <c r="M214" s="17"/>
      <c r="N214" s="17"/>
      <c r="O214" s="17"/>
      <c r="V214" s="262"/>
      <c r="W214" s="254"/>
      <c r="X214" s="254"/>
      <c r="Y214" s="154"/>
      <c r="Z214" s="6"/>
      <c r="AA214" s="481"/>
      <c r="AB214" s="481"/>
      <c r="AC214" s="481"/>
      <c r="AD214" s="481"/>
      <c r="AE214" s="482"/>
      <c r="AF214" s="483"/>
      <c r="AG214" s="175"/>
      <c r="AH214" s="175"/>
      <c r="AI214" s="175"/>
    </row>
    <row r="215" spans="2:35" customFormat="1" x14ac:dyDescent="0.25">
      <c r="B215" s="127"/>
      <c r="D215" s="234"/>
      <c r="E215" s="234"/>
      <c r="V215" s="262"/>
      <c r="W215" s="254"/>
      <c r="X215" s="254"/>
      <c r="Y215" s="154"/>
      <c r="Z215" s="6"/>
      <c r="AA215" s="481"/>
      <c r="AB215" s="481"/>
      <c r="AC215" s="481"/>
      <c r="AD215" s="481"/>
      <c r="AE215" s="482"/>
      <c r="AF215" s="483"/>
      <c r="AG215" s="175"/>
      <c r="AH215" s="175"/>
      <c r="AI215" s="175"/>
    </row>
    <row r="216" spans="2:35" customFormat="1" x14ac:dyDescent="0.25">
      <c r="B216" s="127"/>
      <c r="D216" s="234"/>
      <c r="E216" s="234"/>
      <c r="V216" s="262"/>
      <c r="W216" s="254"/>
      <c r="X216" s="254"/>
      <c r="Y216" s="154"/>
      <c r="Z216" s="6"/>
      <c r="AA216" s="481"/>
      <c r="AB216" s="481"/>
      <c r="AC216" s="481"/>
      <c r="AD216" s="481"/>
      <c r="AE216" s="482"/>
      <c r="AF216" s="483"/>
      <c r="AG216" s="175"/>
      <c r="AH216" s="175"/>
      <c r="AI216" s="175"/>
    </row>
    <row r="217" spans="2:35" customFormat="1" x14ac:dyDescent="0.25">
      <c r="B217" s="127"/>
      <c r="D217" s="234"/>
      <c r="E217" s="234"/>
      <c r="V217" s="262"/>
      <c r="W217" s="254"/>
      <c r="X217" s="254"/>
      <c r="Y217" s="154"/>
      <c r="Z217" s="6"/>
      <c r="AA217" s="481"/>
      <c r="AB217" s="481"/>
      <c r="AC217" s="481"/>
      <c r="AD217" s="481"/>
      <c r="AE217" s="482"/>
      <c r="AF217" s="483"/>
      <c r="AG217" s="175"/>
      <c r="AH217" s="175"/>
      <c r="AI217" s="175"/>
    </row>
    <row r="218" spans="2:35" customFormat="1" x14ac:dyDescent="0.25">
      <c r="B218" s="127"/>
      <c r="D218" s="234"/>
      <c r="E218" s="234"/>
      <c r="V218" s="262"/>
      <c r="W218" s="254"/>
      <c r="X218" s="254"/>
      <c r="Y218" s="154"/>
      <c r="Z218" s="6"/>
      <c r="AA218" s="481"/>
      <c r="AB218" s="481"/>
      <c r="AC218" s="481"/>
      <c r="AD218" s="481"/>
      <c r="AE218" s="482"/>
      <c r="AF218" s="483"/>
      <c r="AG218" s="175"/>
      <c r="AH218" s="175"/>
      <c r="AI218" s="175"/>
    </row>
    <row r="219" spans="2:35" customFormat="1" x14ac:dyDescent="0.25">
      <c r="B219" s="127"/>
      <c r="D219" s="234"/>
      <c r="E219" s="234"/>
      <c r="V219" s="262"/>
      <c r="W219" s="254"/>
      <c r="X219" s="254"/>
      <c r="Y219" s="154"/>
      <c r="Z219" s="6"/>
      <c r="AA219" s="481"/>
      <c r="AB219" s="481"/>
      <c r="AC219" s="481"/>
      <c r="AD219" s="481"/>
      <c r="AE219" s="482"/>
      <c r="AF219" s="483"/>
      <c r="AG219" s="175"/>
      <c r="AH219" s="175"/>
      <c r="AI219" s="175"/>
    </row>
    <row r="220" spans="2:35" customFormat="1" x14ac:dyDescent="0.25">
      <c r="B220" s="127"/>
      <c r="D220" s="234"/>
      <c r="E220" s="234"/>
      <c r="V220" s="262"/>
      <c r="W220" s="254"/>
      <c r="X220" s="254"/>
      <c r="Y220" s="154"/>
      <c r="Z220" s="6"/>
      <c r="AA220" s="481"/>
      <c r="AB220" s="481"/>
      <c r="AC220" s="481"/>
      <c r="AD220" s="481"/>
      <c r="AE220" s="482"/>
      <c r="AF220" s="483"/>
      <c r="AG220" s="175"/>
      <c r="AH220" s="175"/>
      <c r="AI220" s="175"/>
    </row>
    <row r="221" spans="2:35" customFormat="1" x14ac:dyDescent="0.25">
      <c r="B221" s="127"/>
      <c r="D221" s="234"/>
      <c r="E221" s="234"/>
      <c r="V221" s="262"/>
      <c r="W221" s="254"/>
      <c r="X221" s="254"/>
      <c r="Y221" s="154"/>
      <c r="Z221" s="6"/>
      <c r="AA221" s="481"/>
      <c r="AB221" s="481"/>
      <c r="AC221" s="481"/>
      <c r="AD221" s="481"/>
      <c r="AE221" s="482"/>
      <c r="AF221" s="483"/>
      <c r="AG221" s="175"/>
      <c r="AH221" s="175"/>
      <c r="AI221" s="175"/>
    </row>
    <row r="222" spans="2:35" customFormat="1" x14ac:dyDescent="0.25">
      <c r="B222" s="127"/>
      <c r="D222" s="234"/>
      <c r="E222" s="234"/>
      <c r="V222" s="262"/>
      <c r="W222" s="254"/>
      <c r="X222" s="254"/>
      <c r="Y222" s="154"/>
      <c r="Z222" s="6"/>
      <c r="AA222" s="481"/>
      <c r="AB222" s="481"/>
      <c r="AC222" s="481"/>
      <c r="AD222" s="481"/>
      <c r="AE222" s="482"/>
      <c r="AF222" s="483"/>
      <c r="AG222" s="175"/>
      <c r="AH222" s="175"/>
      <c r="AI222" s="175"/>
    </row>
    <row r="223" spans="2:35" customFormat="1" x14ac:dyDescent="0.25">
      <c r="B223" s="127"/>
      <c r="D223" s="234"/>
      <c r="E223" s="234"/>
      <c r="V223" s="262"/>
      <c r="W223" s="254"/>
      <c r="X223" s="254"/>
      <c r="Y223" s="154"/>
      <c r="Z223" s="6"/>
      <c r="AA223" s="481"/>
      <c r="AB223" s="481"/>
      <c r="AC223" s="481"/>
      <c r="AD223" s="481"/>
      <c r="AE223" s="482"/>
      <c r="AF223" s="483"/>
      <c r="AG223" s="175"/>
      <c r="AH223" s="175"/>
      <c r="AI223" s="175"/>
    </row>
    <row r="224" spans="2:35" customFormat="1" x14ac:dyDescent="0.25">
      <c r="B224" s="127"/>
      <c r="D224" s="234"/>
      <c r="E224" s="234"/>
      <c r="V224" s="262"/>
      <c r="W224" s="254"/>
      <c r="X224" s="254"/>
      <c r="Y224" s="154"/>
      <c r="Z224" s="6"/>
      <c r="AA224" s="481"/>
      <c r="AB224" s="481"/>
      <c r="AC224" s="481"/>
      <c r="AD224" s="481"/>
      <c r="AE224" s="482"/>
      <c r="AF224" s="483"/>
      <c r="AG224" s="175"/>
      <c r="AH224" s="175"/>
      <c r="AI224" s="175"/>
    </row>
    <row r="225" spans="2:32" customFormat="1" x14ac:dyDescent="0.25">
      <c r="B225" s="127"/>
      <c r="D225" s="234"/>
      <c r="E225" s="234"/>
      <c r="V225" s="262"/>
      <c r="W225" s="254"/>
      <c r="X225" s="254"/>
      <c r="Y225" s="154"/>
      <c r="Z225" s="6"/>
      <c r="AA225" s="6"/>
      <c r="AB225" s="6"/>
      <c r="AC225" s="6"/>
      <c r="AD225" s="6"/>
      <c r="AE225" s="75"/>
      <c r="AF225" s="45"/>
    </row>
    <row r="226" spans="2:32" customFormat="1" x14ac:dyDescent="0.25">
      <c r="B226" s="127"/>
      <c r="D226" s="234"/>
      <c r="E226" s="234"/>
      <c r="V226" s="262"/>
      <c r="W226" s="254"/>
      <c r="X226" s="254"/>
      <c r="Y226" s="154"/>
      <c r="Z226" s="6"/>
      <c r="AA226" s="6"/>
      <c r="AB226" s="6"/>
      <c r="AC226" s="6"/>
      <c r="AD226" s="6"/>
      <c r="AE226" s="75"/>
      <c r="AF226" s="45"/>
    </row>
    <row r="227" spans="2:32" customFormat="1" x14ac:dyDescent="0.25">
      <c r="B227" s="127"/>
      <c r="D227" s="234"/>
      <c r="E227" s="234"/>
      <c r="V227" s="262"/>
      <c r="W227" s="254"/>
      <c r="X227" s="254"/>
      <c r="Y227" s="154"/>
      <c r="Z227" s="6"/>
      <c r="AA227" s="6"/>
      <c r="AB227" s="6"/>
      <c r="AC227" s="6"/>
      <c r="AD227" s="6"/>
      <c r="AE227" s="75"/>
      <c r="AF227" s="45"/>
    </row>
    <row r="228" spans="2:32" customFormat="1" x14ac:dyDescent="0.25">
      <c r="B228" s="127"/>
      <c r="D228" s="234"/>
      <c r="E228" s="234"/>
      <c r="V228" s="262"/>
      <c r="W228" s="254"/>
      <c r="X228" s="254"/>
      <c r="Y228" s="154"/>
      <c r="Z228" s="6"/>
      <c r="AA228" s="6"/>
      <c r="AB228" s="6"/>
      <c r="AC228" s="6"/>
      <c r="AD228" s="6"/>
      <c r="AE228" s="75"/>
      <c r="AF228" s="45"/>
    </row>
    <row r="229" spans="2:32" customFormat="1" x14ac:dyDescent="0.25">
      <c r="B229" s="127"/>
      <c r="D229" s="234"/>
      <c r="E229" s="234"/>
      <c r="V229" s="262"/>
      <c r="W229" s="254"/>
      <c r="X229" s="254"/>
      <c r="Y229" s="154"/>
      <c r="Z229" s="6"/>
      <c r="AA229" s="6"/>
      <c r="AB229" s="6"/>
      <c r="AC229" s="6"/>
      <c r="AD229" s="6"/>
      <c r="AE229" s="75"/>
      <c r="AF229" s="45"/>
    </row>
    <row r="230" spans="2:32" customFormat="1" x14ac:dyDescent="0.25">
      <c r="B230" s="127"/>
      <c r="D230" s="234"/>
      <c r="E230" s="234"/>
      <c r="V230" s="262"/>
      <c r="W230" s="254"/>
      <c r="X230" s="254"/>
      <c r="Y230" s="154"/>
      <c r="Z230" s="6"/>
      <c r="AA230" s="6"/>
      <c r="AB230" s="6"/>
      <c r="AC230" s="6"/>
      <c r="AD230" s="6"/>
      <c r="AE230" s="75"/>
      <c r="AF230" s="45"/>
    </row>
    <row r="231" spans="2:32" customFormat="1" x14ac:dyDescent="0.25">
      <c r="B231" s="127"/>
      <c r="D231" s="234"/>
      <c r="E231" s="234"/>
      <c r="V231" s="262"/>
      <c r="W231" s="254"/>
      <c r="X231" s="254"/>
      <c r="Y231" s="154"/>
      <c r="Z231" s="6"/>
      <c r="AA231" s="6"/>
      <c r="AB231" s="6"/>
      <c r="AC231" s="6"/>
      <c r="AD231" s="6"/>
      <c r="AE231" s="75"/>
      <c r="AF231" s="45"/>
    </row>
    <row r="232" spans="2:32" customFormat="1" x14ac:dyDescent="0.25">
      <c r="B232" s="127"/>
      <c r="D232" s="234"/>
      <c r="E232" s="234"/>
      <c r="V232" s="262"/>
      <c r="W232" s="254"/>
      <c r="X232" s="254"/>
      <c r="Y232" s="154"/>
      <c r="Z232" s="6"/>
      <c r="AA232" s="6"/>
      <c r="AB232" s="6"/>
      <c r="AC232" s="6"/>
      <c r="AD232" s="6"/>
      <c r="AE232" s="75"/>
      <c r="AF232" s="45"/>
    </row>
    <row r="233" spans="2:32" customFormat="1" x14ac:dyDescent="0.25">
      <c r="B233" s="127"/>
      <c r="D233" s="234"/>
      <c r="E233" s="234"/>
      <c r="V233" s="262"/>
      <c r="W233" s="254"/>
      <c r="X233" s="254"/>
      <c r="Y233" s="154"/>
      <c r="Z233" s="6"/>
      <c r="AA233" s="6"/>
      <c r="AB233" s="6"/>
      <c r="AC233" s="6"/>
      <c r="AD233" s="6"/>
      <c r="AE233" s="75"/>
      <c r="AF233" s="45"/>
    </row>
    <row r="234" spans="2:32" customFormat="1" x14ac:dyDescent="0.25">
      <c r="B234" s="127"/>
      <c r="D234" s="234"/>
      <c r="E234" s="234"/>
      <c r="V234" s="262"/>
      <c r="W234" s="254"/>
      <c r="X234" s="254"/>
      <c r="Y234" s="154"/>
      <c r="Z234" s="6"/>
      <c r="AA234" s="6"/>
      <c r="AB234" s="6"/>
      <c r="AC234" s="6"/>
      <c r="AD234" s="6"/>
      <c r="AE234" s="75"/>
      <c r="AF234" s="45"/>
    </row>
    <row r="235" spans="2:32" customFormat="1" x14ac:dyDescent="0.25">
      <c r="B235" s="127"/>
      <c r="D235" s="234"/>
      <c r="E235" s="234"/>
      <c r="V235" s="262"/>
      <c r="W235" s="254"/>
      <c r="X235" s="254"/>
      <c r="Y235" s="154"/>
      <c r="Z235" s="6"/>
      <c r="AA235" s="6"/>
      <c r="AB235" s="6"/>
      <c r="AC235" s="6"/>
      <c r="AD235" s="6"/>
      <c r="AE235" s="75"/>
      <c r="AF235" s="45"/>
    </row>
    <row r="236" spans="2:32" customFormat="1" x14ac:dyDescent="0.25">
      <c r="B236" s="127"/>
      <c r="D236" s="234"/>
      <c r="E236" s="234"/>
      <c r="V236" s="262"/>
      <c r="W236" s="254"/>
      <c r="X236" s="254"/>
      <c r="Y236" s="154"/>
      <c r="Z236" s="6"/>
      <c r="AA236" s="6"/>
      <c r="AB236" s="6"/>
      <c r="AC236" s="6"/>
      <c r="AD236" s="6"/>
      <c r="AE236" s="75"/>
      <c r="AF236" s="45"/>
    </row>
    <row r="237" spans="2:32" customFormat="1" x14ac:dyDescent="0.25">
      <c r="B237" s="127"/>
      <c r="D237" s="234"/>
      <c r="E237" s="234"/>
      <c r="V237" s="262"/>
      <c r="W237" s="254"/>
      <c r="X237" s="254"/>
      <c r="Y237" s="154"/>
      <c r="Z237" s="6"/>
      <c r="AA237" s="6"/>
      <c r="AB237" s="6"/>
      <c r="AC237" s="6"/>
      <c r="AD237" s="6"/>
      <c r="AE237" s="75"/>
      <c r="AF237" s="45"/>
    </row>
    <row r="238" spans="2:32" customFormat="1" x14ac:dyDescent="0.25">
      <c r="B238" s="127"/>
      <c r="D238" s="234"/>
      <c r="E238" s="234"/>
      <c r="V238" s="262"/>
      <c r="W238" s="254"/>
      <c r="X238" s="254"/>
      <c r="Y238" s="154"/>
      <c r="Z238" s="6"/>
      <c r="AA238" s="6"/>
      <c r="AB238" s="6"/>
      <c r="AC238" s="6"/>
      <c r="AD238" s="6"/>
      <c r="AE238" s="75"/>
      <c r="AF238" s="45"/>
    </row>
    <row r="239" spans="2:32" customFormat="1" x14ac:dyDescent="0.25">
      <c r="B239" s="127"/>
      <c r="D239" s="234"/>
      <c r="E239" s="234"/>
      <c r="V239" s="262"/>
      <c r="W239" s="254"/>
      <c r="X239" s="254"/>
      <c r="Y239" s="154"/>
      <c r="Z239" s="6"/>
      <c r="AA239" s="6"/>
      <c r="AB239" s="6"/>
      <c r="AC239" s="6"/>
      <c r="AD239" s="6"/>
      <c r="AE239" s="75"/>
      <c r="AF239" s="45"/>
    </row>
    <row r="240" spans="2:32" customFormat="1" x14ac:dyDescent="0.25">
      <c r="B240" s="127"/>
      <c r="D240" s="234"/>
      <c r="E240" s="234"/>
      <c r="V240" s="262"/>
      <c r="W240" s="254"/>
      <c r="X240" s="254"/>
      <c r="Y240" s="154"/>
      <c r="Z240" s="6"/>
      <c r="AA240" s="6"/>
      <c r="AB240" s="6"/>
      <c r="AC240" s="6"/>
      <c r="AD240" s="6"/>
      <c r="AE240" s="75"/>
      <c r="AF240" s="45"/>
    </row>
    <row r="241" spans="2:32" customFormat="1" x14ac:dyDescent="0.25">
      <c r="B241" s="127"/>
      <c r="D241" s="234"/>
      <c r="E241" s="234"/>
      <c r="V241" s="262"/>
      <c r="W241" s="254"/>
      <c r="X241" s="254"/>
      <c r="Y241" s="154"/>
      <c r="Z241" s="6"/>
      <c r="AA241" s="6"/>
      <c r="AB241" s="6"/>
      <c r="AC241" s="6"/>
      <c r="AD241" s="6"/>
      <c r="AE241" s="75"/>
      <c r="AF241" s="45"/>
    </row>
    <row r="242" spans="2:32" customFormat="1" x14ac:dyDescent="0.25">
      <c r="B242" s="127"/>
      <c r="D242" s="234"/>
      <c r="E242" s="234"/>
      <c r="V242" s="262"/>
      <c r="W242" s="254"/>
      <c r="X242" s="254"/>
      <c r="Y242" s="154"/>
      <c r="Z242" s="6"/>
      <c r="AA242" s="6"/>
      <c r="AB242" s="6"/>
      <c r="AC242" s="6"/>
      <c r="AD242" s="6"/>
      <c r="AE242" s="75"/>
      <c r="AF242" s="45"/>
    </row>
    <row r="243" spans="2:32" customFormat="1" x14ac:dyDescent="0.25">
      <c r="B243" s="127"/>
      <c r="D243" s="234"/>
      <c r="E243" s="234"/>
      <c r="V243" s="262"/>
      <c r="W243" s="254"/>
      <c r="X243" s="254"/>
      <c r="Y243" s="154"/>
      <c r="Z243" s="6"/>
      <c r="AA243" s="6"/>
      <c r="AB243" s="6"/>
      <c r="AC243" s="6"/>
      <c r="AD243" s="6"/>
      <c r="AE243" s="75"/>
      <c r="AF243" s="45"/>
    </row>
    <row r="244" spans="2:32" customFormat="1" x14ac:dyDescent="0.25">
      <c r="B244" s="127"/>
      <c r="D244" s="234"/>
      <c r="E244" s="234"/>
      <c r="V244" s="262"/>
      <c r="W244" s="254"/>
      <c r="X244" s="254"/>
      <c r="Y244" s="154"/>
      <c r="Z244" s="6"/>
      <c r="AA244" s="6"/>
      <c r="AB244" s="6"/>
      <c r="AC244" s="6"/>
      <c r="AD244" s="6"/>
      <c r="AE244" s="75"/>
      <c r="AF244" s="45"/>
    </row>
    <row r="245" spans="2:32" customFormat="1" x14ac:dyDescent="0.25">
      <c r="B245" s="127"/>
      <c r="D245" s="234"/>
      <c r="E245" s="234"/>
      <c r="V245" s="262"/>
      <c r="W245" s="254"/>
      <c r="X245" s="254"/>
      <c r="Y245" s="154"/>
      <c r="Z245" s="6"/>
      <c r="AA245" s="6"/>
      <c r="AB245" s="6"/>
      <c r="AC245" s="6"/>
      <c r="AD245" s="6"/>
      <c r="AE245" s="75"/>
      <c r="AF245" s="45"/>
    </row>
    <row r="246" spans="2:32" customFormat="1" x14ac:dyDescent="0.25">
      <c r="B246" s="127"/>
      <c r="D246" s="234"/>
      <c r="E246" s="234"/>
      <c r="V246" s="262"/>
      <c r="W246" s="254"/>
      <c r="X246" s="254"/>
      <c r="Y246" s="154"/>
      <c r="Z246" s="6"/>
      <c r="AA246" s="6"/>
      <c r="AB246" s="6"/>
      <c r="AC246" s="6"/>
      <c r="AD246" s="6"/>
      <c r="AE246" s="75"/>
      <c r="AF246" s="45"/>
    </row>
    <row r="247" spans="2:32" customFormat="1" x14ac:dyDescent="0.25">
      <c r="B247" s="127"/>
      <c r="D247" s="234"/>
      <c r="E247" s="234"/>
      <c r="V247" s="262"/>
      <c r="W247" s="254"/>
      <c r="X247" s="254"/>
      <c r="Y247" s="154"/>
      <c r="Z247" s="6"/>
      <c r="AA247" s="6"/>
      <c r="AB247" s="6"/>
      <c r="AC247" s="6"/>
      <c r="AD247" s="6"/>
      <c r="AE247" s="75"/>
      <c r="AF247" s="45"/>
    </row>
    <row r="248" spans="2:32" customFormat="1" x14ac:dyDescent="0.25">
      <c r="B248" s="127"/>
      <c r="D248" s="234"/>
      <c r="E248" s="234"/>
      <c r="V248" s="262"/>
      <c r="W248" s="254"/>
      <c r="X248" s="254"/>
      <c r="Y248" s="154"/>
      <c r="Z248" s="6"/>
      <c r="AA248" s="6"/>
      <c r="AB248" s="6"/>
      <c r="AC248" s="6"/>
      <c r="AD248" s="6"/>
      <c r="AE248" s="75"/>
      <c r="AF248" s="45"/>
    </row>
    <row r="249" spans="2:32" customFormat="1" x14ac:dyDescent="0.25">
      <c r="B249" s="127"/>
      <c r="D249" s="234"/>
      <c r="E249" s="234"/>
      <c r="V249" s="262"/>
      <c r="W249" s="254"/>
      <c r="X249" s="254"/>
      <c r="Y249" s="154"/>
      <c r="Z249" s="6"/>
      <c r="AA249" s="6"/>
      <c r="AB249" s="6"/>
      <c r="AC249" s="6"/>
      <c r="AD249" s="6"/>
      <c r="AE249" s="75"/>
      <c r="AF249" s="45"/>
    </row>
    <row r="250" spans="2:32" customFormat="1" x14ac:dyDescent="0.25">
      <c r="B250" s="127"/>
      <c r="D250" s="234"/>
      <c r="E250" s="234"/>
      <c r="V250" s="262"/>
      <c r="W250" s="254"/>
      <c r="X250" s="254"/>
      <c r="Y250" s="154"/>
      <c r="Z250" s="6"/>
      <c r="AA250" s="6"/>
      <c r="AB250" s="6"/>
      <c r="AC250" s="6"/>
      <c r="AD250" s="6"/>
      <c r="AE250" s="75"/>
      <c r="AF250" s="45"/>
    </row>
    <row r="251" spans="2:32" customFormat="1" x14ac:dyDescent="0.25">
      <c r="B251" s="127"/>
      <c r="D251" s="234"/>
      <c r="E251" s="234"/>
      <c r="V251" s="262"/>
      <c r="W251" s="254"/>
      <c r="X251" s="254"/>
      <c r="Y251" s="154"/>
      <c r="Z251" s="6"/>
      <c r="AA251" s="6"/>
      <c r="AB251" s="6"/>
      <c r="AC251" s="6"/>
      <c r="AD251" s="6"/>
      <c r="AE251" s="75"/>
      <c r="AF251" s="45"/>
    </row>
    <row r="252" spans="2:32" customFormat="1" x14ac:dyDescent="0.25">
      <c r="B252" s="127"/>
      <c r="D252" s="234"/>
      <c r="E252" s="234"/>
      <c r="V252" s="262"/>
      <c r="W252" s="254"/>
      <c r="X252" s="254"/>
      <c r="Y252" s="154"/>
      <c r="Z252" s="6"/>
      <c r="AA252" s="6"/>
      <c r="AB252" s="6"/>
      <c r="AC252" s="6"/>
      <c r="AD252" s="6"/>
      <c r="AE252" s="75"/>
      <c r="AF252" s="45"/>
    </row>
    <row r="253" spans="2:32" customFormat="1" x14ac:dyDescent="0.25">
      <c r="B253" s="127"/>
      <c r="D253" s="234"/>
      <c r="E253" s="234"/>
      <c r="V253" s="262"/>
      <c r="W253" s="254"/>
      <c r="X253" s="254"/>
      <c r="Y253" s="154"/>
      <c r="Z253" s="6"/>
      <c r="AA253" s="6"/>
      <c r="AB253" s="6"/>
      <c r="AC253" s="6"/>
      <c r="AD253" s="6"/>
      <c r="AE253" s="75"/>
      <c r="AF253" s="45"/>
    </row>
    <row r="254" spans="2:32" customFormat="1" x14ac:dyDescent="0.25">
      <c r="B254" s="127"/>
      <c r="D254" s="234"/>
      <c r="E254" s="234"/>
      <c r="V254" s="262"/>
      <c r="W254" s="254"/>
      <c r="X254" s="254"/>
      <c r="Y254" s="154"/>
      <c r="Z254" s="6"/>
      <c r="AA254" s="6"/>
      <c r="AB254" s="6"/>
      <c r="AC254" s="6"/>
      <c r="AD254" s="6"/>
      <c r="AE254" s="75"/>
      <c r="AF254" s="45"/>
    </row>
    <row r="255" spans="2:32" customFormat="1" x14ac:dyDescent="0.25">
      <c r="B255" s="127"/>
      <c r="D255" s="234"/>
      <c r="E255" s="234"/>
      <c r="V255" s="262"/>
      <c r="W255" s="254"/>
      <c r="X255" s="254"/>
      <c r="Y255" s="154"/>
      <c r="Z255" s="6"/>
      <c r="AA255" s="6"/>
      <c r="AB255" s="6"/>
      <c r="AC255" s="6"/>
      <c r="AD255" s="6"/>
      <c r="AE255" s="75"/>
      <c r="AF255" s="45"/>
    </row>
    <row r="256" spans="2:32" customFormat="1" x14ac:dyDescent="0.25">
      <c r="B256" s="127"/>
      <c r="D256" s="234"/>
      <c r="E256" s="234"/>
      <c r="V256" s="262"/>
      <c r="W256" s="254"/>
      <c r="X256" s="254"/>
      <c r="Y256" s="154"/>
      <c r="Z256" s="6"/>
      <c r="AA256" s="6"/>
      <c r="AB256" s="6"/>
      <c r="AC256" s="6"/>
      <c r="AD256" s="6"/>
      <c r="AE256" s="75"/>
      <c r="AF256" s="45"/>
    </row>
    <row r="257" spans="2:32" customFormat="1" x14ac:dyDescent="0.25">
      <c r="B257" s="127"/>
      <c r="D257" s="234"/>
      <c r="E257" s="234"/>
      <c r="V257" s="262"/>
      <c r="W257" s="254"/>
      <c r="X257" s="254"/>
      <c r="Y257" s="154"/>
      <c r="Z257" s="6"/>
      <c r="AA257" s="6"/>
      <c r="AB257" s="6"/>
      <c r="AC257" s="6"/>
      <c r="AD257" s="6"/>
      <c r="AE257" s="75"/>
      <c r="AF257" s="45"/>
    </row>
    <row r="258" spans="2:32" customFormat="1" x14ac:dyDescent="0.25">
      <c r="B258" s="127"/>
      <c r="D258" s="234"/>
      <c r="E258" s="234"/>
      <c r="V258" s="262"/>
      <c r="W258" s="254"/>
      <c r="X258" s="254"/>
      <c r="Y258" s="154"/>
      <c r="Z258" s="6"/>
      <c r="AA258" s="6"/>
      <c r="AB258" s="6"/>
      <c r="AC258" s="6"/>
      <c r="AD258" s="6"/>
      <c r="AE258" s="75"/>
      <c r="AF258" s="45"/>
    </row>
    <row r="259" spans="2:32" customFormat="1" x14ac:dyDescent="0.25">
      <c r="B259" s="127"/>
      <c r="D259" s="234"/>
      <c r="E259" s="234"/>
      <c r="V259" s="262"/>
      <c r="W259" s="254"/>
      <c r="X259" s="254"/>
      <c r="Y259" s="154"/>
      <c r="Z259" s="6"/>
      <c r="AA259" s="6"/>
      <c r="AB259" s="6"/>
      <c r="AC259" s="6"/>
      <c r="AD259" s="6"/>
      <c r="AE259" s="75"/>
      <c r="AF259" s="45"/>
    </row>
    <row r="260" spans="2:32" customFormat="1" x14ac:dyDescent="0.25">
      <c r="B260" s="127"/>
      <c r="D260" s="234"/>
      <c r="E260" s="234"/>
      <c r="V260" s="262"/>
      <c r="W260" s="254"/>
      <c r="X260" s="254"/>
      <c r="Y260" s="154"/>
      <c r="Z260" s="6"/>
      <c r="AA260" s="6"/>
      <c r="AB260" s="6"/>
      <c r="AC260" s="6"/>
      <c r="AD260" s="6"/>
      <c r="AE260" s="75"/>
      <c r="AF260" s="45"/>
    </row>
    <row r="261" spans="2:32" customFormat="1" x14ac:dyDescent="0.25">
      <c r="B261" s="127"/>
      <c r="D261" s="234"/>
      <c r="E261" s="234"/>
      <c r="V261" s="262"/>
      <c r="W261" s="254"/>
      <c r="X261" s="254"/>
      <c r="Y261" s="154"/>
      <c r="Z261" s="6"/>
      <c r="AA261" s="6"/>
      <c r="AB261" s="6"/>
      <c r="AC261" s="6"/>
      <c r="AD261" s="6"/>
      <c r="AE261" s="75"/>
      <c r="AF261" s="45"/>
    </row>
    <row r="262" spans="2:32" customFormat="1" x14ac:dyDescent="0.25">
      <c r="B262" s="127"/>
      <c r="D262" s="234"/>
      <c r="E262" s="234"/>
      <c r="V262" s="262"/>
      <c r="W262" s="254"/>
      <c r="X262" s="254"/>
      <c r="Y262" s="154"/>
      <c r="Z262" s="6"/>
      <c r="AA262" s="6"/>
      <c r="AB262" s="6"/>
      <c r="AC262" s="6"/>
      <c r="AD262" s="6"/>
      <c r="AE262" s="75"/>
      <c r="AF262" s="45"/>
    </row>
    <row r="263" spans="2:32" customFormat="1" x14ac:dyDescent="0.25">
      <c r="B263" s="127"/>
      <c r="D263" s="234"/>
      <c r="E263" s="234"/>
      <c r="V263" s="262"/>
      <c r="W263" s="254"/>
      <c r="X263" s="254"/>
      <c r="Y263" s="154"/>
      <c r="Z263" s="6"/>
      <c r="AA263" s="6"/>
      <c r="AB263" s="6"/>
      <c r="AC263" s="6"/>
      <c r="AD263" s="6"/>
      <c r="AE263" s="75"/>
      <c r="AF263" s="45"/>
    </row>
    <row r="264" spans="2:32" customFormat="1" x14ac:dyDescent="0.25">
      <c r="B264" s="127"/>
      <c r="D264" s="234"/>
      <c r="E264" s="234"/>
      <c r="V264" s="262"/>
      <c r="W264" s="254"/>
      <c r="X264" s="254"/>
      <c r="Y264" s="154"/>
      <c r="Z264" s="6"/>
      <c r="AA264" s="6"/>
      <c r="AB264" s="6"/>
      <c r="AC264" s="6"/>
      <c r="AD264" s="6"/>
      <c r="AE264" s="75"/>
      <c r="AF264" s="45"/>
    </row>
    <row r="265" spans="2:32" customFormat="1" x14ac:dyDescent="0.25">
      <c r="B265" s="127"/>
      <c r="D265" s="234"/>
      <c r="E265" s="234"/>
      <c r="V265" s="262"/>
      <c r="W265" s="254"/>
      <c r="X265" s="254"/>
      <c r="Y265" s="154"/>
      <c r="Z265" s="6"/>
      <c r="AA265" s="6"/>
      <c r="AB265" s="6"/>
      <c r="AC265" s="6"/>
      <c r="AD265" s="6"/>
      <c r="AE265" s="75"/>
      <c r="AF265" s="45"/>
    </row>
    <row r="266" spans="2:32" customFormat="1" x14ac:dyDescent="0.25">
      <c r="B266" s="127"/>
      <c r="D266" s="234"/>
      <c r="E266" s="234"/>
      <c r="V266" s="262"/>
      <c r="W266" s="254"/>
      <c r="X266" s="254"/>
      <c r="Y266" s="154"/>
      <c r="Z266" s="6"/>
      <c r="AA266" s="6"/>
      <c r="AB266" s="6"/>
      <c r="AC266" s="6"/>
      <c r="AD266" s="6"/>
      <c r="AE266" s="75"/>
      <c r="AF266" s="45"/>
    </row>
    <row r="267" spans="2:32" customFormat="1" x14ac:dyDescent="0.25">
      <c r="B267" s="127"/>
      <c r="D267" s="234"/>
      <c r="E267" s="234"/>
      <c r="V267" s="262"/>
      <c r="W267" s="254"/>
      <c r="X267" s="254"/>
      <c r="Y267" s="154"/>
      <c r="Z267" s="6"/>
      <c r="AA267" s="6"/>
      <c r="AB267" s="6"/>
      <c r="AC267" s="6"/>
      <c r="AD267" s="6"/>
      <c r="AE267" s="75"/>
      <c r="AF267" s="45"/>
    </row>
    <row r="268" spans="2:32" customFormat="1" x14ac:dyDescent="0.25">
      <c r="B268" s="127"/>
      <c r="D268" s="234"/>
      <c r="E268" s="234"/>
      <c r="V268" s="262"/>
      <c r="W268" s="254"/>
      <c r="X268" s="254"/>
      <c r="Y268" s="154"/>
      <c r="Z268" s="6"/>
      <c r="AA268" s="6"/>
      <c r="AB268" s="6"/>
      <c r="AC268" s="6"/>
      <c r="AD268" s="6"/>
      <c r="AE268" s="75"/>
      <c r="AF268" s="45"/>
    </row>
    <row r="269" spans="2:32" customFormat="1" x14ac:dyDescent="0.25">
      <c r="B269" s="127"/>
      <c r="D269" s="234"/>
      <c r="E269" s="234"/>
      <c r="V269" s="262"/>
      <c r="W269" s="254"/>
      <c r="X269" s="254"/>
      <c r="Y269" s="154"/>
      <c r="Z269" s="6"/>
      <c r="AA269" s="6"/>
      <c r="AB269" s="6"/>
      <c r="AC269" s="6"/>
      <c r="AD269" s="6"/>
      <c r="AE269" s="75"/>
      <c r="AF269" s="45"/>
    </row>
    <row r="270" spans="2:32" customFormat="1" x14ac:dyDescent="0.25">
      <c r="B270" s="127"/>
      <c r="D270" s="234"/>
      <c r="E270" s="234"/>
      <c r="V270" s="262"/>
      <c r="W270" s="254"/>
      <c r="X270" s="254"/>
      <c r="Y270" s="154"/>
      <c r="Z270" s="6"/>
      <c r="AA270" s="6"/>
      <c r="AB270" s="6"/>
      <c r="AC270" s="6"/>
      <c r="AD270" s="6"/>
      <c r="AE270" s="75"/>
      <c r="AF270" s="45"/>
    </row>
    <row r="271" spans="2:32" customFormat="1" x14ac:dyDescent="0.25">
      <c r="B271" s="127"/>
      <c r="D271" s="234"/>
      <c r="E271" s="234"/>
      <c r="V271" s="262"/>
      <c r="W271" s="254"/>
      <c r="X271" s="254"/>
      <c r="Y271" s="154"/>
      <c r="Z271" s="6"/>
      <c r="AA271" s="6"/>
      <c r="AB271" s="6"/>
      <c r="AC271" s="6"/>
      <c r="AD271" s="6"/>
      <c r="AE271" s="75"/>
      <c r="AF271" s="45"/>
    </row>
    <row r="272" spans="2:32" customFormat="1" x14ac:dyDescent="0.25">
      <c r="B272" s="127"/>
      <c r="D272" s="234"/>
      <c r="E272" s="234"/>
      <c r="V272" s="262"/>
      <c r="W272" s="254"/>
      <c r="X272" s="254"/>
      <c r="Y272" s="154"/>
      <c r="Z272" s="6"/>
      <c r="AA272" s="6"/>
      <c r="AB272" s="6"/>
      <c r="AC272" s="6"/>
      <c r="AD272" s="6"/>
      <c r="AE272" s="75"/>
      <c r="AF272" s="45"/>
    </row>
    <row r="273" spans="2:32" customFormat="1" x14ac:dyDescent="0.25">
      <c r="B273" s="127"/>
      <c r="D273" s="234"/>
      <c r="E273" s="234"/>
      <c r="V273" s="262"/>
      <c r="W273" s="254"/>
      <c r="X273" s="254"/>
      <c r="Y273" s="154"/>
      <c r="Z273" s="6"/>
      <c r="AA273" s="6"/>
      <c r="AB273" s="6"/>
      <c r="AC273" s="6"/>
      <c r="AD273" s="6"/>
      <c r="AE273" s="75"/>
      <c r="AF273" s="45"/>
    </row>
    <row r="274" spans="2:32" customFormat="1" x14ac:dyDescent="0.25">
      <c r="B274" s="127"/>
      <c r="D274" s="234"/>
      <c r="E274" s="234"/>
      <c r="V274" s="262"/>
      <c r="W274" s="254"/>
      <c r="X274" s="254"/>
      <c r="Y274" s="154"/>
      <c r="Z274" s="6"/>
      <c r="AA274" s="6"/>
      <c r="AB274" s="6"/>
      <c r="AC274" s="6"/>
      <c r="AD274" s="6"/>
      <c r="AE274" s="75"/>
      <c r="AF274" s="45"/>
    </row>
    <row r="275" spans="2:32" customFormat="1" x14ac:dyDescent="0.25">
      <c r="B275" s="127"/>
      <c r="D275" s="234"/>
      <c r="E275" s="234"/>
      <c r="V275" s="262"/>
      <c r="W275" s="254"/>
      <c r="X275" s="254"/>
      <c r="Y275" s="154"/>
      <c r="Z275" s="6"/>
      <c r="AA275" s="6"/>
      <c r="AB275" s="6"/>
      <c r="AC275" s="6"/>
      <c r="AD275" s="6"/>
      <c r="AE275" s="75"/>
      <c r="AF275" s="45"/>
    </row>
    <row r="276" spans="2:32" customFormat="1" x14ac:dyDescent="0.25">
      <c r="B276" s="127"/>
      <c r="D276" s="234"/>
      <c r="E276" s="234"/>
      <c r="V276" s="262"/>
      <c r="W276" s="254"/>
      <c r="X276" s="254"/>
      <c r="Y276" s="154"/>
      <c r="Z276" s="6"/>
      <c r="AA276" s="6"/>
      <c r="AB276" s="6"/>
      <c r="AC276" s="6"/>
      <c r="AD276" s="6"/>
      <c r="AE276" s="75"/>
      <c r="AF276" s="45"/>
    </row>
    <row r="277" spans="2:32" customFormat="1" x14ac:dyDescent="0.25">
      <c r="B277" s="127"/>
      <c r="D277" s="234"/>
      <c r="E277" s="234"/>
      <c r="V277" s="262"/>
      <c r="W277" s="254"/>
      <c r="X277" s="254"/>
      <c r="Y277" s="154"/>
      <c r="Z277" s="6"/>
      <c r="AA277" s="6"/>
      <c r="AB277" s="6"/>
      <c r="AC277" s="6"/>
      <c r="AD277" s="6"/>
      <c r="AE277" s="75"/>
      <c r="AF277" s="45"/>
    </row>
    <row r="278" spans="2:32" customFormat="1" x14ac:dyDescent="0.25">
      <c r="B278" s="127"/>
      <c r="D278" s="234"/>
      <c r="E278" s="234"/>
      <c r="V278" s="262"/>
      <c r="W278" s="254"/>
      <c r="X278" s="254"/>
      <c r="Y278" s="154"/>
      <c r="Z278" s="6"/>
      <c r="AA278" s="6"/>
      <c r="AB278" s="6"/>
      <c r="AC278" s="6"/>
      <c r="AD278" s="6"/>
      <c r="AE278" s="75"/>
      <c r="AF278" s="45"/>
    </row>
    <row r="279" spans="2:32" customFormat="1" x14ac:dyDescent="0.25">
      <c r="B279" s="127"/>
      <c r="D279" s="234"/>
      <c r="E279" s="234"/>
      <c r="V279" s="262"/>
      <c r="W279" s="254"/>
      <c r="X279" s="254"/>
      <c r="Y279" s="154"/>
      <c r="Z279" s="6"/>
      <c r="AA279" s="6"/>
      <c r="AB279" s="6"/>
      <c r="AC279" s="6"/>
      <c r="AD279" s="6"/>
      <c r="AE279" s="75"/>
      <c r="AF279" s="45"/>
    </row>
    <row r="280" spans="2:32" customFormat="1" x14ac:dyDescent="0.25">
      <c r="B280" s="127"/>
      <c r="D280" s="234"/>
      <c r="E280" s="234"/>
      <c r="V280" s="262"/>
      <c r="W280" s="254"/>
      <c r="X280" s="254"/>
      <c r="Y280" s="154"/>
      <c r="Z280" s="6"/>
      <c r="AA280" s="6"/>
      <c r="AB280" s="6"/>
      <c r="AC280" s="6"/>
      <c r="AD280" s="6"/>
      <c r="AE280" s="75"/>
      <c r="AF280" s="45"/>
    </row>
    <row r="281" spans="2:32" customFormat="1" x14ac:dyDescent="0.25">
      <c r="B281" s="127"/>
      <c r="D281" s="234"/>
      <c r="E281" s="234"/>
      <c r="V281" s="262"/>
      <c r="W281" s="254"/>
      <c r="X281" s="254"/>
      <c r="Y281" s="154"/>
      <c r="Z281" s="6"/>
      <c r="AA281" s="6"/>
      <c r="AB281" s="6"/>
      <c r="AC281" s="6"/>
      <c r="AD281" s="6"/>
      <c r="AE281" s="75"/>
      <c r="AF281" s="45"/>
    </row>
    <row r="282" spans="2:32" customFormat="1" x14ac:dyDescent="0.25">
      <c r="B282" s="127"/>
      <c r="D282" s="234"/>
      <c r="E282" s="234"/>
      <c r="V282" s="262"/>
      <c r="W282" s="254"/>
      <c r="X282" s="254"/>
      <c r="Y282" s="154"/>
      <c r="Z282" s="6"/>
      <c r="AA282" s="6"/>
      <c r="AB282" s="6"/>
      <c r="AC282" s="6"/>
      <c r="AD282" s="6"/>
      <c r="AE282" s="75"/>
      <c r="AF282" s="45"/>
    </row>
    <row r="283" spans="2:32" customFormat="1" x14ac:dyDescent="0.25">
      <c r="B283" s="127"/>
      <c r="D283" s="234"/>
      <c r="E283" s="234"/>
      <c r="V283" s="262"/>
      <c r="W283" s="254"/>
      <c r="X283" s="254"/>
      <c r="Y283" s="154"/>
      <c r="Z283" s="6"/>
      <c r="AA283" s="6"/>
      <c r="AB283" s="6"/>
      <c r="AC283" s="6"/>
      <c r="AD283" s="6"/>
      <c r="AE283" s="75"/>
      <c r="AF283" s="45"/>
    </row>
    <row r="284" spans="2:32" customFormat="1" x14ac:dyDescent="0.25">
      <c r="B284" s="127"/>
      <c r="D284" s="234"/>
      <c r="E284" s="234"/>
      <c r="V284" s="262"/>
      <c r="W284" s="254"/>
      <c r="X284" s="254"/>
      <c r="Y284" s="154"/>
      <c r="Z284" s="6"/>
      <c r="AA284" s="6"/>
      <c r="AB284" s="6"/>
      <c r="AC284" s="6"/>
      <c r="AD284" s="6"/>
      <c r="AE284" s="75"/>
      <c r="AF284" s="45"/>
    </row>
    <row r="285" spans="2:32" customFormat="1" x14ac:dyDescent="0.25">
      <c r="B285" s="127"/>
      <c r="D285" s="234"/>
      <c r="E285" s="234"/>
      <c r="V285" s="262"/>
      <c r="W285" s="254"/>
      <c r="X285" s="254"/>
      <c r="Y285" s="154"/>
      <c r="Z285" s="6"/>
      <c r="AA285" s="6"/>
      <c r="AB285" s="6"/>
      <c r="AC285" s="6"/>
      <c r="AD285" s="6"/>
      <c r="AE285" s="75"/>
      <c r="AF285" s="45"/>
    </row>
    <row r="286" spans="2:32" customFormat="1" x14ac:dyDescent="0.25">
      <c r="B286" s="127"/>
      <c r="D286" s="234"/>
      <c r="E286" s="234"/>
      <c r="V286" s="262"/>
      <c r="W286" s="254"/>
      <c r="X286" s="254"/>
      <c r="Y286" s="154"/>
      <c r="Z286" s="6"/>
      <c r="AA286" s="6"/>
      <c r="AB286" s="6"/>
      <c r="AC286" s="6"/>
      <c r="AD286" s="6"/>
      <c r="AE286" s="75"/>
      <c r="AF286" s="45"/>
    </row>
    <row r="287" spans="2:32" customFormat="1" x14ac:dyDescent="0.25">
      <c r="B287" s="127"/>
      <c r="D287" s="234"/>
      <c r="E287" s="234"/>
      <c r="V287" s="262"/>
      <c r="W287" s="254"/>
      <c r="X287" s="254"/>
      <c r="Y287" s="154"/>
      <c r="Z287" s="6"/>
      <c r="AA287" s="6"/>
      <c r="AB287" s="6"/>
      <c r="AC287" s="6"/>
      <c r="AD287" s="6"/>
      <c r="AE287" s="75"/>
      <c r="AF287" s="45"/>
    </row>
    <row r="288" spans="2:32" customFormat="1" x14ac:dyDescent="0.25">
      <c r="B288" s="127"/>
      <c r="D288" s="234"/>
      <c r="E288" s="234"/>
      <c r="V288" s="262"/>
      <c r="W288" s="254"/>
      <c r="X288" s="254"/>
      <c r="Y288" s="154"/>
      <c r="Z288" s="6"/>
      <c r="AA288" s="6"/>
      <c r="AB288" s="6"/>
      <c r="AC288" s="6"/>
      <c r="AD288" s="6"/>
      <c r="AE288" s="75"/>
      <c r="AF288" s="45"/>
    </row>
    <row r="289" spans="2:32" customFormat="1" x14ac:dyDescent="0.25">
      <c r="B289" s="127"/>
      <c r="D289" s="234"/>
      <c r="E289" s="234"/>
      <c r="V289" s="262"/>
      <c r="W289" s="254"/>
      <c r="X289" s="254"/>
      <c r="Y289" s="154"/>
      <c r="Z289" s="6"/>
      <c r="AA289" s="6"/>
      <c r="AB289" s="6"/>
      <c r="AC289" s="6"/>
      <c r="AD289" s="6"/>
      <c r="AE289" s="75"/>
      <c r="AF289" s="45"/>
    </row>
    <row r="290" spans="2:32" customFormat="1" x14ac:dyDescent="0.25">
      <c r="B290" s="127"/>
      <c r="D290" s="234"/>
      <c r="E290" s="234"/>
      <c r="V290" s="262"/>
      <c r="W290" s="254"/>
      <c r="X290" s="254"/>
      <c r="Y290" s="154"/>
      <c r="Z290" s="6"/>
      <c r="AA290" s="6"/>
      <c r="AB290" s="6"/>
      <c r="AC290" s="6"/>
      <c r="AD290" s="6"/>
      <c r="AE290" s="75"/>
      <c r="AF290" s="45"/>
    </row>
    <row r="291" spans="2:32" customFormat="1" x14ac:dyDescent="0.25">
      <c r="B291" s="127"/>
      <c r="D291" s="234"/>
      <c r="E291" s="234"/>
      <c r="V291" s="262"/>
      <c r="W291" s="254"/>
      <c r="X291" s="254"/>
      <c r="Y291" s="154"/>
      <c r="Z291" s="6"/>
      <c r="AA291" s="6"/>
      <c r="AB291" s="6"/>
      <c r="AC291" s="6"/>
      <c r="AD291" s="6"/>
      <c r="AE291" s="75"/>
      <c r="AF291" s="45"/>
    </row>
    <row r="292" spans="2:32" customFormat="1" x14ac:dyDescent="0.25">
      <c r="B292" s="127"/>
      <c r="D292" s="234"/>
      <c r="E292" s="234"/>
      <c r="V292" s="262"/>
      <c r="W292" s="254"/>
      <c r="X292" s="254"/>
      <c r="Y292" s="154"/>
      <c r="Z292" s="6"/>
      <c r="AA292" s="6"/>
      <c r="AB292" s="6"/>
      <c r="AC292" s="6"/>
      <c r="AD292" s="6"/>
      <c r="AE292" s="75"/>
      <c r="AF292" s="45"/>
    </row>
    <row r="293" spans="2:32" customFormat="1" x14ac:dyDescent="0.25">
      <c r="B293" s="127"/>
      <c r="D293" s="234"/>
      <c r="E293" s="234"/>
      <c r="V293" s="262"/>
      <c r="W293" s="254"/>
      <c r="X293" s="254"/>
      <c r="Y293" s="154"/>
      <c r="Z293" s="6"/>
      <c r="AA293" s="6"/>
      <c r="AB293" s="6"/>
      <c r="AC293" s="6"/>
      <c r="AD293" s="6"/>
      <c r="AE293" s="75"/>
      <c r="AF293" s="45"/>
    </row>
    <row r="294" spans="2:32" customFormat="1" x14ac:dyDescent="0.25">
      <c r="B294" s="127"/>
      <c r="D294" s="234"/>
      <c r="E294" s="234"/>
      <c r="V294" s="262"/>
      <c r="W294" s="254"/>
      <c r="X294" s="254"/>
      <c r="Y294" s="154"/>
      <c r="Z294" s="6"/>
      <c r="AA294" s="6"/>
      <c r="AB294" s="6"/>
      <c r="AC294" s="6"/>
      <c r="AD294" s="6"/>
      <c r="AE294" s="75"/>
      <c r="AF294" s="45"/>
    </row>
    <row r="295" spans="2:32" customFormat="1" x14ac:dyDescent="0.25">
      <c r="B295" s="127"/>
      <c r="D295" s="234"/>
      <c r="E295" s="234"/>
      <c r="V295" s="262"/>
      <c r="W295" s="254"/>
      <c r="X295" s="254"/>
      <c r="Y295" s="154"/>
      <c r="Z295" s="6"/>
      <c r="AA295" s="6"/>
      <c r="AB295" s="6"/>
      <c r="AC295" s="6"/>
      <c r="AD295" s="6"/>
      <c r="AE295" s="75"/>
      <c r="AF295" s="45"/>
    </row>
    <row r="296" spans="2:32" customFormat="1" x14ac:dyDescent="0.25">
      <c r="B296" s="127"/>
      <c r="D296" s="234"/>
      <c r="E296" s="234"/>
      <c r="V296" s="262"/>
      <c r="W296" s="254"/>
      <c r="X296" s="254"/>
      <c r="Y296" s="154"/>
      <c r="Z296" s="6"/>
      <c r="AA296" s="6"/>
      <c r="AB296" s="6"/>
      <c r="AC296" s="6"/>
      <c r="AD296" s="6"/>
      <c r="AE296" s="75"/>
      <c r="AF296" s="45"/>
    </row>
    <row r="297" spans="2:32" customFormat="1" x14ac:dyDescent="0.25">
      <c r="B297" s="127"/>
      <c r="D297" s="234"/>
      <c r="E297" s="234"/>
      <c r="V297" s="262"/>
      <c r="W297" s="254"/>
      <c r="X297" s="254"/>
      <c r="Y297" s="154"/>
      <c r="Z297" s="6"/>
      <c r="AA297" s="6"/>
      <c r="AB297" s="6"/>
      <c r="AC297" s="6"/>
      <c r="AD297" s="6"/>
      <c r="AE297" s="75"/>
      <c r="AF297" s="45"/>
    </row>
    <row r="298" spans="2:32" customFormat="1" x14ac:dyDescent="0.25">
      <c r="B298" s="127"/>
      <c r="D298" s="234"/>
      <c r="E298" s="234"/>
      <c r="V298" s="262"/>
      <c r="W298" s="254"/>
      <c r="X298" s="254"/>
      <c r="Y298" s="154"/>
      <c r="Z298" s="6"/>
      <c r="AA298" s="6"/>
      <c r="AB298" s="6"/>
      <c r="AC298" s="6"/>
      <c r="AD298" s="6"/>
      <c r="AE298" s="75"/>
      <c r="AF298" s="45"/>
    </row>
    <row r="299" spans="2:32" customFormat="1" x14ac:dyDescent="0.25">
      <c r="B299" s="127"/>
      <c r="D299" s="234"/>
      <c r="E299" s="234"/>
      <c r="V299" s="262"/>
      <c r="W299" s="254"/>
      <c r="X299" s="254"/>
      <c r="Y299" s="154"/>
      <c r="Z299" s="6"/>
      <c r="AA299" s="6"/>
      <c r="AB299" s="6"/>
      <c r="AC299" s="6"/>
      <c r="AD299" s="6"/>
      <c r="AE299" s="75"/>
      <c r="AF299" s="45"/>
    </row>
    <row r="300" spans="2:32" customFormat="1" x14ac:dyDescent="0.25">
      <c r="B300" s="127"/>
      <c r="D300" s="234"/>
      <c r="E300" s="234"/>
      <c r="V300" s="262"/>
      <c r="W300" s="254"/>
      <c r="X300" s="254"/>
      <c r="Y300" s="154"/>
      <c r="Z300" s="6"/>
      <c r="AA300" s="6"/>
      <c r="AB300" s="6"/>
      <c r="AC300" s="6"/>
      <c r="AD300" s="6"/>
      <c r="AE300" s="75"/>
      <c r="AF300" s="45"/>
    </row>
    <row r="301" spans="2:32" customFormat="1" x14ac:dyDescent="0.25">
      <c r="B301" s="127"/>
      <c r="D301" s="234"/>
      <c r="E301" s="234"/>
      <c r="V301" s="262"/>
      <c r="W301" s="254"/>
      <c r="X301" s="254"/>
      <c r="Y301" s="154"/>
      <c r="Z301" s="6"/>
      <c r="AA301" s="6"/>
      <c r="AB301" s="6"/>
      <c r="AC301" s="6"/>
      <c r="AD301" s="6"/>
      <c r="AE301" s="75"/>
      <c r="AF301" s="45"/>
    </row>
    <row r="302" spans="2:32" customFormat="1" x14ac:dyDescent="0.25">
      <c r="B302" s="127"/>
      <c r="D302" s="234"/>
      <c r="E302" s="234"/>
      <c r="V302" s="262"/>
      <c r="W302" s="254"/>
      <c r="X302" s="254"/>
      <c r="Y302" s="154"/>
      <c r="Z302" s="6"/>
      <c r="AA302" s="6"/>
      <c r="AB302" s="6"/>
      <c r="AC302" s="6"/>
      <c r="AD302" s="6"/>
      <c r="AE302" s="75"/>
      <c r="AF302" s="45"/>
    </row>
    <row r="303" spans="2:32" customFormat="1" x14ac:dyDescent="0.25">
      <c r="B303" s="127"/>
      <c r="D303" s="234"/>
      <c r="E303" s="234"/>
      <c r="V303" s="262"/>
      <c r="W303" s="254"/>
      <c r="X303" s="254"/>
      <c r="Y303" s="154"/>
      <c r="Z303" s="6"/>
      <c r="AA303" s="6"/>
      <c r="AB303" s="6"/>
      <c r="AC303" s="6"/>
      <c r="AD303" s="6"/>
      <c r="AE303" s="75"/>
      <c r="AF303" s="45"/>
    </row>
    <row r="304" spans="2:32" customFormat="1" x14ac:dyDescent="0.25">
      <c r="B304" s="127"/>
      <c r="D304" s="234"/>
      <c r="E304" s="234"/>
      <c r="V304" s="262"/>
      <c r="W304" s="254"/>
      <c r="X304" s="254"/>
      <c r="Y304" s="154"/>
      <c r="Z304" s="6"/>
      <c r="AA304" s="6"/>
      <c r="AB304" s="6"/>
      <c r="AC304" s="6"/>
      <c r="AD304" s="6"/>
      <c r="AE304" s="75"/>
      <c r="AF304" s="45"/>
    </row>
    <row r="305" spans="2:32" customFormat="1" x14ac:dyDescent="0.25">
      <c r="B305" s="127"/>
      <c r="D305" s="234"/>
      <c r="E305" s="234"/>
      <c r="V305" s="262"/>
      <c r="W305" s="254"/>
      <c r="X305" s="254"/>
      <c r="Y305" s="154"/>
      <c r="Z305" s="6"/>
      <c r="AA305" s="6"/>
      <c r="AB305" s="6"/>
      <c r="AC305" s="6"/>
      <c r="AD305" s="6"/>
      <c r="AE305" s="75"/>
      <c r="AF305" s="45"/>
    </row>
    <row r="306" spans="2:32" customFormat="1" x14ac:dyDescent="0.25">
      <c r="B306" s="127"/>
      <c r="D306" s="234"/>
      <c r="E306" s="234"/>
      <c r="V306" s="262"/>
      <c r="W306" s="254"/>
      <c r="X306" s="254"/>
      <c r="Y306" s="154"/>
      <c r="Z306" s="6"/>
      <c r="AA306" s="6"/>
      <c r="AB306" s="6"/>
      <c r="AC306" s="6"/>
      <c r="AD306" s="6"/>
      <c r="AE306" s="75"/>
      <c r="AF306" s="45"/>
    </row>
    <row r="307" spans="2:32" customFormat="1" x14ac:dyDescent="0.25">
      <c r="B307" s="127"/>
      <c r="D307" s="234"/>
      <c r="E307" s="234"/>
      <c r="V307" s="262"/>
      <c r="W307" s="254"/>
      <c r="X307" s="254"/>
      <c r="Y307" s="154"/>
      <c r="Z307" s="6"/>
      <c r="AA307" s="6"/>
      <c r="AB307" s="6"/>
      <c r="AC307" s="6"/>
      <c r="AD307" s="6"/>
      <c r="AE307" s="75"/>
      <c r="AF307" s="45"/>
    </row>
    <row r="308" spans="2:32" customFormat="1" x14ac:dyDescent="0.25">
      <c r="B308" s="127"/>
      <c r="D308" s="234"/>
      <c r="E308" s="234"/>
      <c r="V308" s="262"/>
      <c r="W308" s="254"/>
      <c r="X308" s="254"/>
      <c r="Y308" s="154"/>
      <c r="Z308" s="6"/>
      <c r="AA308" s="6"/>
      <c r="AB308" s="6"/>
      <c r="AC308" s="6"/>
      <c r="AD308" s="6"/>
      <c r="AE308" s="75"/>
      <c r="AF308" s="45"/>
    </row>
    <row r="309" spans="2:32" customFormat="1" x14ac:dyDescent="0.25">
      <c r="B309" s="127"/>
      <c r="D309" s="234"/>
      <c r="E309" s="234"/>
      <c r="V309" s="262"/>
      <c r="W309" s="254"/>
      <c r="X309" s="254"/>
      <c r="Y309" s="154"/>
      <c r="Z309" s="6"/>
      <c r="AA309" s="6"/>
      <c r="AB309" s="6"/>
      <c r="AC309" s="6"/>
      <c r="AD309" s="6"/>
      <c r="AE309" s="75"/>
      <c r="AF309" s="45"/>
    </row>
    <row r="310" spans="2:32" customFormat="1" x14ac:dyDescent="0.25">
      <c r="B310" s="127"/>
      <c r="D310" s="234"/>
      <c r="E310" s="234"/>
      <c r="V310" s="262"/>
      <c r="W310" s="254"/>
      <c r="X310" s="254"/>
      <c r="Y310" s="154"/>
      <c r="Z310" s="6"/>
      <c r="AA310" s="6"/>
      <c r="AB310" s="6"/>
      <c r="AC310" s="6"/>
      <c r="AD310" s="6"/>
      <c r="AE310" s="75"/>
      <c r="AF310" s="45"/>
    </row>
    <row r="311" spans="2:32" customFormat="1" x14ac:dyDescent="0.25">
      <c r="B311" s="127"/>
      <c r="D311" s="234"/>
      <c r="E311" s="234"/>
      <c r="V311" s="262"/>
      <c r="W311" s="254"/>
      <c r="X311" s="254"/>
      <c r="Y311" s="154"/>
      <c r="Z311" s="6"/>
      <c r="AA311" s="6"/>
      <c r="AB311" s="6"/>
      <c r="AC311" s="6"/>
      <c r="AD311" s="6"/>
      <c r="AE311" s="75"/>
      <c r="AF311" s="45"/>
    </row>
    <row r="312" spans="2:32" customFormat="1" x14ac:dyDescent="0.25">
      <c r="B312" s="127"/>
      <c r="D312" s="234"/>
      <c r="E312" s="234"/>
      <c r="V312" s="262"/>
      <c r="W312" s="254"/>
      <c r="X312" s="254"/>
      <c r="Y312" s="154"/>
      <c r="Z312" s="6"/>
      <c r="AA312" s="6"/>
      <c r="AB312" s="6"/>
      <c r="AC312" s="6"/>
      <c r="AD312" s="6"/>
      <c r="AE312" s="75"/>
      <c r="AF312" s="45"/>
    </row>
    <row r="313" spans="2:32" customFormat="1" x14ac:dyDescent="0.25">
      <c r="B313" s="127"/>
      <c r="D313" s="234"/>
      <c r="E313" s="234"/>
      <c r="V313" s="262"/>
      <c r="W313" s="254"/>
      <c r="X313" s="254"/>
      <c r="Y313" s="154"/>
      <c r="Z313" s="6"/>
      <c r="AA313" s="6"/>
      <c r="AB313" s="6"/>
      <c r="AC313" s="6"/>
      <c r="AD313" s="6"/>
      <c r="AE313" s="75"/>
      <c r="AF313" s="45"/>
    </row>
    <row r="314" spans="2:32" customFormat="1" x14ac:dyDescent="0.25">
      <c r="B314" s="127"/>
      <c r="D314" s="234"/>
      <c r="E314" s="234"/>
      <c r="V314" s="262"/>
      <c r="W314" s="254"/>
      <c r="X314" s="254"/>
      <c r="Y314" s="154"/>
      <c r="Z314" s="6"/>
      <c r="AA314" s="6"/>
      <c r="AB314" s="6"/>
      <c r="AC314" s="6"/>
      <c r="AD314" s="6"/>
      <c r="AE314" s="75"/>
      <c r="AF314" s="45"/>
    </row>
    <row r="315" spans="2:32" customFormat="1" x14ac:dyDescent="0.25">
      <c r="B315" s="127"/>
      <c r="D315" s="234"/>
      <c r="E315" s="234"/>
      <c r="V315" s="262"/>
      <c r="W315" s="254"/>
      <c r="X315" s="254"/>
      <c r="Y315" s="154"/>
      <c r="Z315" s="6"/>
      <c r="AA315" s="6"/>
      <c r="AB315" s="6"/>
      <c r="AC315" s="6"/>
      <c r="AD315" s="6"/>
      <c r="AE315" s="75"/>
      <c r="AF315" s="45"/>
    </row>
    <row r="316" spans="2:32" customFormat="1" x14ac:dyDescent="0.25">
      <c r="B316" s="127"/>
      <c r="D316" s="234"/>
      <c r="E316" s="234"/>
      <c r="V316" s="262"/>
      <c r="W316" s="254"/>
      <c r="X316" s="254"/>
      <c r="Y316" s="154"/>
      <c r="Z316" s="6"/>
      <c r="AA316" s="6"/>
      <c r="AB316" s="6"/>
      <c r="AC316" s="6"/>
      <c r="AD316" s="6"/>
      <c r="AE316" s="75"/>
      <c r="AF316" s="45"/>
    </row>
    <row r="317" spans="2:32" customFormat="1" x14ac:dyDescent="0.25">
      <c r="B317" s="127"/>
      <c r="D317" s="234"/>
      <c r="E317" s="234"/>
      <c r="V317" s="262"/>
      <c r="W317" s="254"/>
      <c r="X317" s="254"/>
      <c r="Y317" s="154"/>
      <c r="Z317" s="6"/>
      <c r="AA317" s="6"/>
      <c r="AB317" s="6"/>
      <c r="AC317" s="6"/>
      <c r="AD317" s="6"/>
      <c r="AE317" s="75"/>
      <c r="AF317" s="45"/>
    </row>
    <row r="318" spans="2:32" customFormat="1" x14ac:dyDescent="0.25">
      <c r="B318" s="127"/>
      <c r="D318" s="234"/>
      <c r="E318" s="234"/>
      <c r="V318" s="262"/>
      <c r="W318" s="254"/>
      <c r="X318" s="254"/>
      <c r="Y318" s="154"/>
      <c r="Z318" s="6"/>
      <c r="AA318" s="6"/>
      <c r="AB318" s="6"/>
      <c r="AC318" s="6"/>
      <c r="AD318" s="6"/>
      <c r="AE318" s="75"/>
      <c r="AF318" s="45"/>
    </row>
    <row r="319" spans="2:32" customFormat="1" x14ac:dyDescent="0.25">
      <c r="B319" s="127"/>
      <c r="D319" s="234"/>
      <c r="E319" s="234"/>
      <c r="V319" s="262"/>
      <c r="W319" s="254"/>
      <c r="X319" s="254"/>
      <c r="Y319" s="154"/>
      <c r="Z319" s="6"/>
      <c r="AA319" s="6"/>
      <c r="AB319" s="6"/>
      <c r="AC319" s="6"/>
      <c r="AD319" s="6"/>
      <c r="AE319" s="75"/>
      <c r="AF319" s="45"/>
    </row>
    <row r="320" spans="2:32" customFormat="1" x14ac:dyDescent="0.25">
      <c r="B320" s="127"/>
      <c r="D320" s="234"/>
      <c r="E320" s="234"/>
      <c r="V320" s="262"/>
      <c r="W320" s="254"/>
      <c r="X320" s="254"/>
      <c r="Y320" s="154"/>
      <c r="Z320" s="6"/>
      <c r="AA320" s="6"/>
      <c r="AB320" s="6"/>
      <c r="AC320" s="6"/>
      <c r="AD320" s="6"/>
      <c r="AE320" s="75"/>
      <c r="AF320" s="45"/>
    </row>
    <row r="321" spans="2:32" customFormat="1" x14ac:dyDescent="0.25">
      <c r="B321" s="127"/>
      <c r="D321" s="234"/>
      <c r="E321" s="234"/>
      <c r="V321" s="262"/>
      <c r="W321" s="254"/>
      <c r="X321" s="254"/>
      <c r="Y321" s="154"/>
      <c r="Z321" s="6"/>
      <c r="AA321" s="6"/>
      <c r="AB321" s="6"/>
      <c r="AC321" s="6"/>
      <c r="AD321" s="6"/>
      <c r="AE321" s="75"/>
      <c r="AF321" s="45"/>
    </row>
    <row r="322" spans="2:32" customFormat="1" x14ac:dyDescent="0.25">
      <c r="B322" s="127"/>
      <c r="D322" s="234"/>
      <c r="E322" s="234"/>
      <c r="V322" s="262"/>
      <c r="W322" s="254"/>
      <c r="X322" s="254"/>
      <c r="Y322" s="154"/>
      <c r="Z322" s="6"/>
      <c r="AA322" s="6"/>
      <c r="AB322" s="6"/>
      <c r="AC322" s="6"/>
      <c r="AD322" s="6"/>
      <c r="AE322" s="75"/>
      <c r="AF322" s="45"/>
    </row>
    <row r="323" spans="2:32" customFormat="1" x14ac:dyDescent="0.25">
      <c r="B323" s="127"/>
      <c r="D323" s="234"/>
      <c r="E323" s="234"/>
      <c r="V323" s="262"/>
      <c r="W323" s="254"/>
      <c r="X323" s="254"/>
      <c r="Y323" s="154"/>
      <c r="Z323" s="6"/>
      <c r="AA323" s="6"/>
      <c r="AB323" s="6"/>
      <c r="AC323" s="6"/>
      <c r="AD323" s="6"/>
      <c r="AE323" s="75"/>
      <c r="AF323" s="45"/>
    </row>
    <row r="324" spans="2:32" customFormat="1" x14ac:dyDescent="0.25">
      <c r="B324" s="127"/>
      <c r="D324" s="234"/>
      <c r="E324" s="234"/>
      <c r="V324" s="262"/>
      <c r="W324" s="254"/>
      <c r="X324" s="254"/>
      <c r="Y324" s="154"/>
      <c r="Z324" s="6"/>
      <c r="AA324" s="6"/>
      <c r="AB324" s="6"/>
      <c r="AC324" s="6"/>
      <c r="AD324" s="6"/>
      <c r="AE324" s="75"/>
      <c r="AF324" s="45"/>
    </row>
    <row r="325" spans="2:32" customFormat="1" x14ac:dyDescent="0.25">
      <c r="B325" s="127"/>
      <c r="D325" s="234"/>
      <c r="E325" s="234"/>
      <c r="V325" s="262"/>
      <c r="W325" s="254"/>
      <c r="X325" s="254"/>
      <c r="Y325" s="154"/>
      <c r="Z325" s="6"/>
      <c r="AA325" s="6"/>
      <c r="AB325" s="6"/>
      <c r="AC325" s="6"/>
      <c r="AD325" s="6"/>
      <c r="AE325" s="75"/>
      <c r="AF325" s="45"/>
    </row>
    <row r="326" spans="2:32" customFormat="1" x14ac:dyDescent="0.25">
      <c r="B326" s="127"/>
      <c r="D326" s="234"/>
      <c r="E326" s="234"/>
      <c r="V326" s="262"/>
      <c r="W326" s="254"/>
      <c r="X326" s="254"/>
      <c r="Y326" s="154"/>
      <c r="Z326" s="6"/>
      <c r="AA326" s="6"/>
      <c r="AB326" s="6"/>
      <c r="AC326" s="6"/>
      <c r="AD326" s="6"/>
      <c r="AE326" s="75"/>
      <c r="AF326" s="45"/>
    </row>
    <row r="327" spans="2:32" customFormat="1" x14ac:dyDescent="0.25">
      <c r="B327" s="127"/>
      <c r="D327" s="234"/>
      <c r="E327" s="234"/>
      <c r="V327" s="262"/>
      <c r="W327" s="254"/>
      <c r="X327" s="254"/>
      <c r="Y327" s="154"/>
      <c r="Z327" s="6"/>
      <c r="AA327" s="6"/>
      <c r="AB327" s="6"/>
      <c r="AC327" s="6"/>
      <c r="AD327" s="6"/>
      <c r="AE327" s="75"/>
      <c r="AF327" s="45"/>
    </row>
    <row r="328" spans="2:32" customFormat="1" x14ac:dyDescent="0.25">
      <c r="B328" s="127"/>
      <c r="D328" s="234"/>
      <c r="E328" s="234"/>
      <c r="V328" s="262"/>
      <c r="W328" s="254"/>
      <c r="X328" s="254"/>
      <c r="Y328" s="154"/>
      <c r="Z328" s="6"/>
      <c r="AA328" s="6"/>
      <c r="AB328" s="6"/>
      <c r="AC328" s="6"/>
      <c r="AD328" s="6"/>
      <c r="AE328" s="75"/>
      <c r="AF328" s="45"/>
    </row>
    <row r="329" spans="2:32" customFormat="1" x14ac:dyDescent="0.25">
      <c r="B329" s="127"/>
      <c r="D329" s="234"/>
      <c r="E329" s="234"/>
      <c r="V329" s="262"/>
      <c r="W329" s="254"/>
      <c r="X329" s="254"/>
      <c r="Y329" s="154"/>
      <c r="Z329" s="6"/>
      <c r="AA329" s="6"/>
      <c r="AB329" s="6"/>
      <c r="AC329" s="6"/>
      <c r="AD329" s="6"/>
      <c r="AE329" s="75"/>
      <c r="AF329" s="45"/>
    </row>
    <row r="330" spans="2:32" customFormat="1" x14ac:dyDescent="0.25">
      <c r="B330" s="127"/>
      <c r="D330" s="234"/>
      <c r="E330" s="234"/>
      <c r="V330" s="262"/>
      <c r="W330" s="254"/>
      <c r="X330" s="254"/>
      <c r="Y330" s="154"/>
      <c r="Z330" s="6"/>
      <c r="AA330" s="6"/>
      <c r="AB330" s="6"/>
      <c r="AC330" s="6"/>
      <c r="AD330" s="6"/>
      <c r="AE330" s="75"/>
      <c r="AF330" s="45"/>
    </row>
    <row r="331" spans="2:32" customFormat="1" x14ac:dyDescent="0.25">
      <c r="B331" s="127"/>
      <c r="D331" s="234"/>
      <c r="E331" s="234"/>
      <c r="V331" s="262"/>
      <c r="W331" s="254"/>
      <c r="X331" s="254"/>
      <c r="Y331" s="154"/>
      <c r="Z331" s="6"/>
      <c r="AA331" s="6"/>
      <c r="AB331" s="6"/>
      <c r="AC331" s="6"/>
      <c r="AD331" s="6"/>
      <c r="AE331" s="75"/>
      <c r="AF331" s="45"/>
    </row>
    <row r="332" spans="2:32" customFormat="1" x14ac:dyDescent="0.25">
      <c r="B332" s="127"/>
      <c r="D332" s="234"/>
      <c r="E332" s="234"/>
      <c r="V332" s="262"/>
      <c r="W332" s="254"/>
      <c r="X332" s="254"/>
      <c r="Y332" s="154"/>
      <c r="Z332" s="6"/>
      <c r="AA332" s="6"/>
      <c r="AB332" s="6"/>
      <c r="AC332" s="6"/>
      <c r="AD332" s="6"/>
      <c r="AE332" s="75"/>
      <c r="AF332" s="45"/>
    </row>
    <row r="333" spans="2:32" customFormat="1" x14ac:dyDescent="0.25">
      <c r="B333" s="127"/>
      <c r="D333" s="234"/>
      <c r="E333" s="234"/>
      <c r="V333" s="262"/>
      <c r="W333" s="254"/>
      <c r="X333" s="254"/>
      <c r="Y333" s="154"/>
      <c r="Z333" s="6"/>
      <c r="AA333" s="6"/>
      <c r="AB333" s="6"/>
      <c r="AC333" s="6"/>
      <c r="AD333" s="6"/>
      <c r="AE333" s="75"/>
      <c r="AF333" s="45"/>
    </row>
    <row r="334" spans="2:32" customFormat="1" x14ac:dyDescent="0.25">
      <c r="B334" s="127"/>
      <c r="D334" s="234"/>
      <c r="E334" s="234"/>
      <c r="V334" s="262"/>
      <c r="W334" s="254"/>
      <c r="X334" s="254"/>
      <c r="Y334" s="154"/>
      <c r="Z334" s="6"/>
      <c r="AA334" s="6"/>
      <c r="AB334" s="6"/>
      <c r="AC334" s="6"/>
      <c r="AD334" s="6"/>
      <c r="AE334" s="75"/>
      <c r="AF334" s="45"/>
    </row>
    <row r="335" spans="2:32" customFormat="1" x14ac:dyDescent="0.25">
      <c r="B335" s="127"/>
      <c r="D335" s="234"/>
      <c r="E335" s="234"/>
      <c r="V335" s="262"/>
      <c r="W335" s="254"/>
      <c r="X335" s="254"/>
      <c r="Y335" s="154"/>
      <c r="Z335" s="6"/>
      <c r="AA335" s="6"/>
      <c r="AB335" s="6"/>
      <c r="AC335" s="6"/>
      <c r="AD335" s="6"/>
      <c r="AE335" s="75"/>
      <c r="AF335" s="45"/>
    </row>
    <row r="336" spans="2:32" customFormat="1" x14ac:dyDescent="0.25">
      <c r="B336" s="127"/>
      <c r="D336" s="234"/>
      <c r="E336" s="234"/>
      <c r="V336" s="262"/>
      <c r="W336" s="254"/>
      <c r="X336" s="254"/>
      <c r="Y336" s="154"/>
      <c r="Z336" s="6"/>
      <c r="AA336" s="6"/>
      <c r="AB336" s="6"/>
      <c r="AC336" s="6"/>
      <c r="AD336" s="6"/>
      <c r="AE336" s="75"/>
      <c r="AF336" s="45"/>
    </row>
    <row r="337" spans="2:32" customFormat="1" x14ac:dyDescent="0.25">
      <c r="B337" s="127"/>
      <c r="D337" s="234"/>
      <c r="E337" s="234"/>
      <c r="V337" s="262"/>
      <c r="W337" s="254"/>
      <c r="X337" s="254"/>
      <c r="Y337" s="154"/>
      <c r="Z337" s="6"/>
      <c r="AA337" s="6"/>
      <c r="AB337" s="6"/>
      <c r="AC337" s="6"/>
      <c r="AD337" s="6"/>
      <c r="AE337" s="75"/>
      <c r="AF337" s="45"/>
    </row>
    <row r="338" spans="2:32" customFormat="1" x14ac:dyDescent="0.25">
      <c r="B338" s="127"/>
      <c r="D338" s="234"/>
      <c r="E338" s="234"/>
      <c r="V338" s="262"/>
      <c r="W338" s="254"/>
      <c r="X338" s="254"/>
      <c r="Y338" s="154"/>
      <c r="Z338" s="6"/>
      <c r="AA338" s="6"/>
      <c r="AB338" s="6"/>
      <c r="AC338" s="6"/>
      <c r="AD338" s="6"/>
      <c r="AE338" s="75"/>
      <c r="AF338" s="45"/>
    </row>
    <row r="339" spans="2:32" customFormat="1" x14ac:dyDescent="0.25">
      <c r="B339" s="127"/>
      <c r="D339" s="234"/>
      <c r="E339" s="234"/>
      <c r="V339" s="262"/>
      <c r="W339" s="254"/>
      <c r="X339" s="254"/>
      <c r="Y339" s="154"/>
      <c r="Z339" s="6"/>
      <c r="AA339" s="6"/>
      <c r="AB339" s="6"/>
      <c r="AC339" s="6"/>
      <c r="AD339" s="6"/>
      <c r="AE339" s="75"/>
      <c r="AF339" s="45"/>
    </row>
    <row r="340" spans="2:32" customFormat="1" x14ac:dyDescent="0.25">
      <c r="B340" s="127"/>
      <c r="D340" s="234"/>
      <c r="E340" s="234"/>
      <c r="V340" s="262"/>
      <c r="W340" s="254"/>
      <c r="X340" s="254"/>
      <c r="Y340" s="154"/>
      <c r="Z340" s="6"/>
      <c r="AA340" s="6"/>
      <c r="AB340" s="6"/>
      <c r="AC340" s="6"/>
      <c r="AD340" s="6"/>
      <c r="AE340" s="75"/>
      <c r="AF340" s="45"/>
    </row>
    <row r="341" spans="2:32" customFormat="1" x14ac:dyDescent="0.25">
      <c r="B341" s="127"/>
      <c r="D341" s="234"/>
      <c r="E341" s="234"/>
      <c r="V341" s="262"/>
      <c r="W341" s="254"/>
      <c r="X341" s="254"/>
      <c r="Y341" s="154"/>
      <c r="Z341" s="6"/>
      <c r="AA341" s="6"/>
      <c r="AB341" s="6"/>
      <c r="AC341" s="6"/>
      <c r="AD341" s="6"/>
      <c r="AE341" s="75"/>
      <c r="AF341" s="45"/>
    </row>
    <row r="342" spans="2:32" customFormat="1" x14ac:dyDescent="0.25">
      <c r="B342" s="127"/>
      <c r="D342" s="234"/>
      <c r="E342" s="234"/>
      <c r="V342" s="262"/>
      <c r="W342" s="254"/>
      <c r="X342" s="254"/>
      <c r="Y342" s="154"/>
      <c r="Z342" s="6"/>
      <c r="AA342" s="6"/>
      <c r="AB342" s="6"/>
      <c r="AC342" s="6"/>
      <c r="AD342" s="6"/>
      <c r="AE342" s="75"/>
      <c r="AF342" s="45"/>
    </row>
    <row r="343" spans="2:32" customFormat="1" x14ac:dyDescent="0.25">
      <c r="B343" s="127"/>
      <c r="D343" s="234"/>
      <c r="E343" s="234"/>
      <c r="V343" s="262"/>
      <c r="W343" s="254"/>
      <c r="X343" s="254"/>
      <c r="Y343" s="154"/>
      <c r="Z343" s="6"/>
      <c r="AA343" s="6"/>
      <c r="AB343" s="6"/>
      <c r="AC343" s="6"/>
      <c r="AD343" s="6"/>
      <c r="AE343" s="75"/>
      <c r="AF343" s="45"/>
    </row>
    <row r="344" spans="2:32" customFormat="1" x14ac:dyDescent="0.25">
      <c r="B344" s="127"/>
      <c r="D344" s="234"/>
      <c r="E344" s="234"/>
      <c r="V344" s="262"/>
      <c r="W344" s="254"/>
      <c r="X344" s="254"/>
      <c r="Y344" s="154"/>
      <c r="Z344" s="6"/>
      <c r="AA344" s="6"/>
      <c r="AB344" s="6"/>
      <c r="AC344" s="6"/>
      <c r="AD344" s="6"/>
      <c r="AE344" s="75"/>
      <c r="AF344" s="45"/>
    </row>
    <row r="345" spans="2:32" customFormat="1" x14ac:dyDescent="0.25">
      <c r="B345" s="127"/>
      <c r="D345" s="234"/>
      <c r="E345" s="234"/>
      <c r="V345" s="262"/>
      <c r="W345" s="254"/>
      <c r="X345" s="254"/>
      <c r="Y345" s="154"/>
      <c r="Z345" s="6"/>
      <c r="AA345" s="6"/>
      <c r="AB345" s="6"/>
      <c r="AC345" s="6"/>
      <c r="AD345" s="6"/>
      <c r="AE345" s="75"/>
      <c r="AF345" s="45"/>
    </row>
    <row r="346" spans="2:32" customFormat="1" x14ac:dyDescent="0.25">
      <c r="B346" s="127"/>
      <c r="D346" s="234"/>
      <c r="E346" s="234"/>
      <c r="V346" s="262"/>
      <c r="W346" s="254"/>
      <c r="X346" s="254"/>
      <c r="Y346" s="154"/>
      <c r="Z346" s="6"/>
      <c r="AA346" s="6"/>
      <c r="AB346" s="6"/>
      <c r="AC346" s="6"/>
      <c r="AD346" s="6"/>
      <c r="AE346" s="75"/>
      <c r="AF346" s="45"/>
    </row>
    <row r="347" spans="2:32" customFormat="1" x14ac:dyDescent="0.25">
      <c r="B347" s="127"/>
      <c r="D347" s="234"/>
      <c r="E347" s="234"/>
      <c r="V347" s="262"/>
      <c r="W347" s="254"/>
      <c r="X347" s="254"/>
      <c r="Y347" s="154"/>
      <c r="Z347" s="6"/>
      <c r="AA347" s="6"/>
      <c r="AB347" s="6"/>
      <c r="AC347" s="6"/>
      <c r="AD347" s="6"/>
      <c r="AE347" s="75"/>
      <c r="AF347" s="45"/>
    </row>
    <row r="348" spans="2:32" customFormat="1" x14ac:dyDescent="0.25">
      <c r="B348" s="127"/>
      <c r="D348" s="234"/>
      <c r="E348" s="234"/>
      <c r="V348" s="262"/>
      <c r="W348" s="254"/>
      <c r="X348" s="254"/>
      <c r="Y348" s="154"/>
      <c r="Z348" s="6"/>
      <c r="AA348" s="6"/>
      <c r="AB348" s="6"/>
      <c r="AC348" s="6"/>
      <c r="AD348" s="6"/>
      <c r="AE348" s="75"/>
      <c r="AF348" s="45"/>
    </row>
    <row r="349" spans="2:32" customFormat="1" x14ac:dyDescent="0.25">
      <c r="B349" s="127"/>
      <c r="D349" s="234"/>
      <c r="E349" s="234"/>
      <c r="V349" s="262"/>
      <c r="W349" s="254"/>
      <c r="X349" s="254"/>
      <c r="Y349" s="154"/>
      <c r="Z349" s="6"/>
      <c r="AA349" s="6"/>
      <c r="AB349" s="6"/>
      <c r="AC349" s="6"/>
      <c r="AD349" s="6"/>
      <c r="AE349" s="75"/>
      <c r="AF349" s="45"/>
    </row>
    <row r="350" spans="2:32" customFormat="1" x14ac:dyDescent="0.25">
      <c r="B350" s="127"/>
      <c r="D350" s="234"/>
      <c r="E350" s="234"/>
      <c r="V350" s="262"/>
      <c r="W350" s="254"/>
      <c r="X350" s="254"/>
      <c r="Y350" s="154"/>
      <c r="Z350" s="6"/>
      <c r="AA350" s="6"/>
      <c r="AB350" s="6"/>
      <c r="AC350" s="6"/>
      <c r="AD350" s="6"/>
      <c r="AE350" s="75"/>
      <c r="AF350" s="45"/>
    </row>
    <row r="351" spans="2:32" customFormat="1" x14ac:dyDescent="0.25">
      <c r="B351" s="127"/>
      <c r="D351" s="234"/>
      <c r="E351" s="234"/>
      <c r="V351" s="262"/>
      <c r="W351" s="254"/>
      <c r="X351" s="254"/>
      <c r="Y351" s="154"/>
      <c r="Z351" s="6"/>
      <c r="AA351" s="6"/>
      <c r="AB351" s="6"/>
      <c r="AC351" s="6"/>
      <c r="AD351" s="6"/>
      <c r="AE351" s="75"/>
      <c r="AF351" s="45"/>
    </row>
    <row r="352" spans="2:32" customFormat="1" x14ac:dyDescent="0.25">
      <c r="B352" s="127"/>
      <c r="D352" s="234"/>
      <c r="E352" s="234"/>
      <c r="V352" s="262"/>
      <c r="W352" s="254"/>
      <c r="X352" s="254"/>
      <c r="Y352" s="154"/>
      <c r="Z352" s="6"/>
      <c r="AA352" s="6"/>
      <c r="AB352" s="6"/>
      <c r="AC352" s="6"/>
      <c r="AD352" s="6"/>
      <c r="AE352" s="75"/>
      <c r="AF352" s="45"/>
    </row>
    <row r="353" spans="2:32" customFormat="1" x14ac:dyDescent="0.25">
      <c r="B353" s="127"/>
      <c r="D353" s="234"/>
      <c r="E353" s="234"/>
      <c r="V353" s="262"/>
      <c r="W353" s="254"/>
      <c r="X353" s="254"/>
      <c r="Y353" s="154"/>
      <c r="Z353" s="6"/>
      <c r="AA353" s="6"/>
      <c r="AB353" s="6"/>
      <c r="AC353" s="6"/>
      <c r="AD353" s="6"/>
      <c r="AE353" s="75"/>
      <c r="AF353" s="45"/>
    </row>
    <row r="354" spans="2:32" customFormat="1" x14ac:dyDescent="0.25">
      <c r="B354" s="127"/>
      <c r="D354" s="234"/>
      <c r="E354" s="234"/>
      <c r="V354" s="262"/>
      <c r="W354" s="254"/>
      <c r="X354" s="254"/>
      <c r="Y354" s="154"/>
      <c r="Z354" s="6"/>
      <c r="AA354" s="6"/>
      <c r="AB354" s="6"/>
      <c r="AC354" s="6"/>
      <c r="AD354" s="6"/>
      <c r="AE354" s="75"/>
      <c r="AF354" s="45"/>
    </row>
    <row r="355" spans="2:32" customFormat="1" x14ac:dyDescent="0.25">
      <c r="B355" s="127"/>
      <c r="D355" s="234"/>
      <c r="E355" s="234"/>
      <c r="V355" s="262"/>
      <c r="W355" s="254"/>
      <c r="X355" s="254"/>
      <c r="Y355" s="154"/>
      <c r="Z355" s="6"/>
      <c r="AA355" s="6"/>
      <c r="AB355" s="6"/>
      <c r="AC355" s="6"/>
      <c r="AD355" s="6"/>
      <c r="AE355" s="75"/>
      <c r="AF355" s="45"/>
    </row>
    <row r="356" spans="2:32" customFormat="1" x14ac:dyDescent="0.25">
      <c r="B356" s="127"/>
      <c r="D356" s="234"/>
      <c r="E356" s="234"/>
      <c r="V356" s="262"/>
      <c r="W356" s="254"/>
      <c r="X356" s="254"/>
      <c r="Y356" s="154"/>
      <c r="Z356" s="6"/>
      <c r="AA356" s="6"/>
      <c r="AB356" s="6"/>
      <c r="AC356" s="6"/>
      <c r="AD356" s="6"/>
      <c r="AE356" s="75"/>
      <c r="AF356" s="45"/>
    </row>
    <row r="357" spans="2:32" customFormat="1" x14ac:dyDescent="0.25">
      <c r="B357" s="127"/>
      <c r="D357" s="234"/>
      <c r="E357" s="234"/>
      <c r="V357" s="262"/>
      <c r="W357" s="254"/>
      <c r="X357" s="254"/>
      <c r="Y357" s="154"/>
      <c r="Z357" s="6"/>
      <c r="AA357" s="6"/>
      <c r="AB357" s="6"/>
      <c r="AC357" s="6"/>
      <c r="AD357" s="6"/>
      <c r="AE357" s="75"/>
      <c r="AF357" s="45"/>
    </row>
    <row r="358" spans="2:32" customFormat="1" x14ac:dyDescent="0.25">
      <c r="B358" s="127"/>
      <c r="D358" s="234"/>
      <c r="E358" s="234"/>
      <c r="V358" s="262"/>
      <c r="W358" s="254"/>
      <c r="X358" s="254"/>
      <c r="Y358" s="154"/>
      <c r="Z358" s="6"/>
      <c r="AA358" s="6"/>
      <c r="AB358" s="6"/>
      <c r="AC358" s="6"/>
      <c r="AD358" s="6"/>
      <c r="AE358" s="75"/>
      <c r="AF358" s="45"/>
    </row>
    <row r="359" spans="2:32" customFormat="1" x14ac:dyDescent="0.25">
      <c r="B359" s="127"/>
      <c r="D359" s="234"/>
      <c r="E359" s="234"/>
      <c r="V359" s="262"/>
      <c r="W359" s="254"/>
      <c r="X359" s="254"/>
      <c r="Y359" s="154"/>
      <c r="Z359" s="6"/>
      <c r="AA359" s="6"/>
      <c r="AB359" s="6"/>
      <c r="AC359" s="6"/>
      <c r="AD359" s="6"/>
      <c r="AE359" s="75"/>
      <c r="AF359" s="45"/>
    </row>
    <row r="360" spans="2:32" customFormat="1" x14ac:dyDescent="0.25">
      <c r="B360" s="127"/>
      <c r="D360" s="234"/>
      <c r="E360" s="234"/>
      <c r="V360" s="262"/>
      <c r="W360" s="254"/>
      <c r="X360" s="254"/>
      <c r="Y360" s="154"/>
      <c r="Z360" s="6"/>
      <c r="AA360" s="6"/>
      <c r="AB360" s="6"/>
      <c r="AC360" s="6"/>
      <c r="AD360" s="6"/>
      <c r="AE360" s="75"/>
      <c r="AF360" s="45"/>
    </row>
    <row r="361" spans="2:32" customFormat="1" x14ac:dyDescent="0.25">
      <c r="B361" s="127"/>
      <c r="D361" s="234"/>
      <c r="E361" s="234"/>
      <c r="V361" s="262"/>
      <c r="W361" s="254"/>
      <c r="X361" s="254"/>
      <c r="Y361" s="154"/>
      <c r="Z361" s="6"/>
      <c r="AA361" s="6"/>
      <c r="AB361" s="6"/>
      <c r="AC361" s="6"/>
      <c r="AD361" s="6"/>
      <c r="AE361" s="75"/>
      <c r="AF361" s="45"/>
    </row>
    <row r="362" spans="2:32" customFormat="1" x14ac:dyDescent="0.25">
      <c r="B362" s="127"/>
      <c r="D362" s="234"/>
      <c r="E362" s="234"/>
      <c r="V362" s="262"/>
      <c r="W362" s="254"/>
      <c r="X362" s="254"/>
      <c r="Y362" s="154"/>
      <c r="Z362" s="6"/>
      <c r="AA362" s="6"/>
      <c r="AB362" s="6"/>
      <c r="AC362" s="6"/>
      <c r="AD362" s="6"/>
      <c r="AE362" s="75"/>
      <c r="AF362" s="45"/>
    </row>
    <row r="363" spans="2:32" customFormat="1" x14ac:dyDescent="0.25">
      <c r="B363" s="127"/>
      <c r="D363" s="234"/>
      <c r="E363" s="234"/>
      <c r="V363" s="262"/>
      <c r="W363" s="254"/>
      <c r="X363" s="254"/>
      <c r="Y363" s="154"/>
      <c r="Z363" s="6"/>
      <c r="AA363" s="6"/>
      <c r="AB363" s="6"/>
      <c r="AC363" s="6"/>
      <c r="AD363" s="6"/>
      <c r="AE363" s="75"/>
      <c r="AF363" s="45"/>
    </row>
    <row r="364" spans="2:32" customFormat="1" x14ac:dyDescent="0.25">
      <c r="B364" s="127"/>
      <c r="D364" s="234"/>
      <c r="E364" s="234"/>
      <c r="V364" s="262"/>
      <c r="W364" s="254"/>
      <c r="X364" s="254"/>
      <c r="Y364" s="154"/>
      <c r="Z364" s="6"/>
      <c r="AA364" s="6"/>
      <c r="AB364" s="6"/>
      <c r="AC364" s="6"/>
      <c r="AD364" s="6"/>
      <c r="AE364" s="75"/>
      <c r="AF364" s="45"/>
    </row>
    <row r="365" spans="2:32" customFormat="1" x14ac:dyDescent="0.25">
      <c r="B365" s="127"/>
      <c r="D365" s="234"/>
      <c r="E365" s="234"/>
      <c r="V365" s="262"/>
      <c r="W365" s="254"/>
      <c r="X365" s="254"/>
      <c r="Y365" s="154"/>
      <c r="Z365" s="6"/>
      <c r="AA365" s="6"/>
      <c r="AB365" s="6"/>
      <c r="AC365" s="6"/>
      <c r="AD365" s="6"/>
      <c r="AE365" s="75"/>
      <c r="AF365" s="45"/>
    </row>
    <row r="366" spans="2:32" customFormat="1" x14ac:dyDescent="0.25">
      <c r="B366" s="127"/>
      <c r="D366" s="234"/>
      <c r="E366" s="234"/>
      <c r="V366" s="262"/>
      <c r="W366" s="254"/>
      <c r="X366" s="254"/>
      <c r="Y366" s="154"/>
      <c r="Z366" s="6"/>
      <c r="AA366" s="6"/>
      <c r="AB366" s="6"/>
      <c r="AC366" s="6"/>
      <c r="AD366" s="6"/>
      <c r="AE366" s="75"/>
      <c r="AF366" s="45"/>
    </row>
    <row r="367" spans="2:32" customFormat="1" x14ac:dyDescent="0.25">
      <c r="B367" s="127"/>
      <c r="D367" s="234"/>
      <c r="E367" s="234"/>
      <c r="V367" s="262"/>
      <c r="W367" s="254"/>
      <c r="X367" s="254"/>
      <c r="Y367" s="154"/>
      <c r="Z367" s="6"/>
      <c r="AA367" s="6"/>
      <c r="AB367" s="6"/>
      <c r="AC367" s="6"/>
      <c r="AD367" s="6"/>
      <c r="AE367" s="75"/>
      <c r="AF367" s="45"/>
    </row>
    <row r="368" spans="2:32" customFormat="1" x14ac:dyDescent="0.25">
      <c r="B368" s="127"/>
      <c r="D368" s="234"/>
      <c r="E368" s="234"/>
      <c r="V368" s="262"/>
      <c r="W368" s="254"/>
      <c r="X368" s="254"/>
      <c r="Y368" s="154"/>
      <c r="Z368" s="6"/>
      <c r="AA368" s="6"/>
      <c r="AB368" s="6"/>
      <c r="AC368" s="6"/>
      <c r="AD368" s="6"/>
      <c r="AE368" s="75"/>
      <c r="AF368" s="45"/>
    </row>
    <row r="369" spans="2:32" customFormat="1" x14ac:dyDescent="0.25">
      <c r="B369" s="127"/>
      <c r="D369" s="234"/>
      <c r="E369" s="234"/>
      <c r="V369" s="262"/>
      <c r="W369" s="254"/>
      <c r="X369" s="254"/>
      <c r="Y369" s="154"/>
      <c r="Z369" s="6"/>
      <c r="AA369" s="6"/>
      <c r="AB369" s="6"/>
      <c r="AC369" s="6"/>
      <c r="AD369" s="6"/>
      <c r="AE369" s="75"/>
      <c r="AF369" s="45"/>
    </row>
    <row r="370" spans="2:32" customFormat="1" x14ac:dyDescent="0.25">
      <c r="B370" s="127"/>
      <c r="D370" s="234"/>
      <c r="E370" s="234"/>
      <c r="V370" s="262"/>
      <c r="W370" s="254"/>
      <c r="X370" s="254"/>
      <c r="Y370" s="154"/>
      <c r="Z370" s="6"/>
      <c r="AA370" s="6"/>
      <c r="AB370" s="6"/>
      <c r="AC370" s="6"/>
      <c r="AD370" s="6"/>
      <c r="AE370" s="75"/>
      <c r="AF370" s="45"/>
    </row>
    <row r="371" spans="2:32" customFormat="1" x14ac:dyDescent="0.25">
      <c r="B371" s="127"/>
      <c r="D371" s="234"/>
      <c r="E371" s="234"/>
      <c r="V371" s="262"/>
      <c r="W371" s="254"/>
      <c r="X371" s="254"/>
      <c r="Y371" s="154"/>
      <c r="Z371" s="6"/>
      <c r="AA371" s="6"/>
      <c r="AB371" s="6"/>
      <c r="AC371" s="6"/>
      <c r="AD371" s="6"/>
      <c r="AE371" s="75"/>
      <c r="AF371" s="45"/>
    </row>
    <row r="372" spans="2:32" customFormat="1" x14ac:dyDescent="0.25">
      <c r="B372" s="127"/>
      <c r="D372" s="234"/>
      <c r="E372" s="234"/>
      <c r="V372" s="262"/>
      <c r="W372" s="254"/>
      <c r="X372" s="254"/>
      <c r="Y372" s="154"/>
      <c r="Z372" s="6"/>
      <c r="AA372" s="6"/>
      <c r="AB372" s="6"/>
      <c r="AC372" s="6"/>
      <c r="AD372" s="6"/>
      <c r="AE372" s="75"/>
      <c r="AF372" s="45"/>
    </row>
    <row r="373" spans="2:32" customFormat="1" x14ac:dyDescent="0.25">
      <c r="B373" s="127"/>
      <c r="D373" s="234"/>
      <c r="E373" s="234"/>
      <c r="V373" s="262"/>
      <c r="W373" s="254"/>
      <c r="X373" s="254"/>
      <c r="Y373" s="154"/>
      <c r="Z373" s="6"/>
      <c r="AA373" s="6"/>
      <c r="AB373" s="6"/>
      <c r="AC373" s="6"/>
      <c r="AD373" s="6"/>
      <c r="AE373" s="75"/>
      <c r="AF373" s="45"/>
    </row>
    <row r="374" spans="2:32" customFormat="1" x14ac:dyDescent="0.25">
      <c r="B374" s="127"/>
      <c r="D374" s="234"/>
      <c r="E374" s="234"/>
      <c r="V374" s="262"/>
      <c r="W374" s="254"/>
      <c r="X374" s="254"/>
      <c r="Y374" s="154"/>
      <c r="Z374" s="6"/>
      <c r="AA374" s="6"/>
      <c r="AB374" s="6"/>
      <c r="AC374" s="6"/>
      <c r="AD374" s="6"/>
      <c r="AE374" s="75"/>
      <c r="AF374" s="45"/>
    </row>
    <row r="375" spans="2:32" customFormat="1" x14ac:dyDescent="0.25">
      <c r="B375" s="127"/>
      <c r="D375" s="234"/>
      <c r="E375" s="234"/>
      <c r="V375" s="262"/>
      <c r="W375" s="254"/>
      <c r="X375" s="254"/>
      <c r="Y375" s="154"/>
      <c r="Z375" s="6"/>
      <c r="AA375" s="6"/>
      <c r="AB375" s="6"/>
      <c r="AC375" s="6"/>
      <c r="AD375" s="6"/>
      <c r="AE375" s="75"/>
      <c r="AF375" s="45"/>
    </row>
    <row r="376" spans="2:32" customFormat="1" x14ac:dyDescent="0.25">
      <c r="B376" s="127"/>
      <c r="D376" s="234"/>
      <c r="E376" s="234"/>
      <c r="V376" s="262"/>
      <c r="W376" s="254"/>
      <c r="X376" s="254"/>
      <c r="Y376" s="154"/>
      <c r="Z376" s="6"/>
      <c r="AA376" s="6"/>
      <c r="AB376" s="6"/>
      <c r="AC376" s="6"/>
      <c r="AD376" s="6"/>
      <c r="AE376" s="75"/>
      <c r="AF376" s="45"/>
    </row>
    <row r="377" spans="2:32" customFormat="1" x14ac:dyDescent="0.25">
      <c r="B377" s="127"/>
      <c r="D377" s="234"/>
      <c r="E377" s="234"/>
      <c r="V377" s="262"/>
      <c r="W377" s="254"/>
      <c r="X377" s="254"/>
      <c r="Y377" s="154"/>
      <c r="Z377" s="6"/>
      <c r="AA377" s="6"/>
      <c r="AB377" s="6"/>
      <c r="AC377" s="6"/>
      <c r="AD377" s="6"/>
      <c r="AE377" s="75"/>
      <c r="AF377" s="45"/>
    </row>
    <row r="378" spans="2:32" customFormat="1" x14ac:dyDescent="0.25">
      <c r="B378" s="127"/>
      <c r="D378" s="234"/>
      <c r="E378" s="234"/>
      <c r="V378" s="262"/>
      <c r="W378" s="254"/>
      <c r="X378" s="254"/>
      <c r="Y378" s="154"/>
      <c r="Z378" s="6"/>
      <c r="AA378" s="6"/>
      <c r="AB378" s="6"/>
      <c r="AC378" s="6"/>
      <c r="AD378" s="6"/>
      <c r="AE378" s="75"/>
      <c r="AF378" s="45"/>
    </row>
    <row r="379" spans="2:32" customFormat="1" x14ac:dyDescent="0.25">
      <c r="B379" s="127"/>
      <c r="D379" s="234"/>
      <c r="E379" s="234"/>
      <c r="V379" s="262"/>
      <c r="W379" s="254"/>
      <c r="X379" s="254"/>
      <c r="Y379" s="154"/>
      <c r="Z379" s="6"/>
      <c r="AA379" s="6"/>
      <c r="AB379" s="6"/>
      <c r="AC379" s="6"/>
      <c r="AD379" s="6"/>
      <c r="AE379" s="75"/>
      <c r="AF379" s="45"/>
    </row>
    <row r="380" spans="2:32" customFormat="1" x14ac:dyDescent="0.25">
      <c r="B380" s="127"/>
      <c r="D380" s="234"/>
      <c r="E380" s="234"/>
      <c r="V380" s="262"/>
      <c r="W380" s="254"/>
      <c r="X380" s="254"/>
      <c r="Y380" s="154"/>
      <c r="Z380" s="6"/>
      <c r="AA380" s="6"/>
      <c r="AB380" s="6"/>
      <c r="AC380" s="6"/>
      <c r="AD380" s="6"/>
      <c r="AE380" s="75"/>
      <c r="AF380" s="45"/>
    </row>
    <row r="381" spans="2:32" customFormat="1" x14ac:dyDescent="0.25">
      <c r="B381" s="127"/>
      <c r="D381" s="234"/>
      <c r="E381" s="234"/>
      <c r="V381" s="262"/>
      <c r="W381" s="254"/>
      <c r="X381" s="254"/>
      <c r="Y381" s="154"/>
      <c r="Z381" s="6"/>
      <c r="AA381" s="6"/>
      <c r="AB381" s="6"/>
      <c r="AC381" s="6"/>
      <c r="AD381" s="6"/>
      <c r="AE381" s="75"/>
      <c r="AF381" s="45"/>
    </row>
    <row r="382" spans="2:32" customFormat="1" x14ac:dyDescent="0.25">
      <c r="B382" s="127"/>
      <c r="D382" s="234"/>
      <c r="E382" s="234"/>
      <c r="V382" s="262"/>
      <c r="W382" s="254"/>
      <c r="X382" s="254"/>
      <c r="Y382" s="154"/>
      <c r="Z382" s="6"/>
      <c r="AA382" s="6"/>
      <c r="AB382" s="6"/>
      <c r="AC382" s="6"/>
      <c r="AD382" s="6"/>
      <c r="AE382" s="75"/>
      <c r="AF382" s="45"/>
    </row>
    <row r="383" spans="2:32" customFormat="1" x14ac:dyDescent="0.25">
      <c r="B383" s="127"/>
      <c r="D383" s="234"/>
      <c r="E383" s="234"/>
      <c r="V383" s="262"/>
      <c r="W383" s="254"/>
      <c r="X383" s="254"/>
      <c r="Y383" s="154"/>
      <c r="Z383" s="6"/>
      <c r="AA383" s="6"/>
      <c r="AB383" s="6"/>
      <c r="AC383" s="6"/>
      <c r="AD383" s="6"/>
      <c r="AE383" s="75"/>
      <c r="AF383" s="45"/>
    </row>
    <row r="384" spans="2:32" customFormat="1" x14ac:dyDescent="0.25">
      <c r="B384" s="127"/>
      <c r="D384" s="234"/>
      <c r="E384" s="234"/>
      <c r="V384" s="262"/>
      <c r="W384" s="254"/>
      <c r="X384" s="254"/>
      <c r="Y384" s="154"/>
      <c r="Z384" s="6"/>
      <c r="AA384" s="6"/>
      <c r="AB384" s="6"/>
      <c r="AC384" s="6"/>
      <c r="AD384" s="6"/>
      <c r="AE384" s="75"/>
      <c r="AF384" s="45"/>
    </row>
    <row r="385" spans="2:32" customFormat="1" x14ac:dyDescent="0.25">
      <c r="B385" s="127"/>
      <c r="D385" s="234"/>
      <c r="E385" s="234"/>
      <c r="V385" s="262"/>
      <c r="W385" s="254"/>
      <c r="X385" s="254"/>
      <c r="Y385" s="154"/>
      <c r="Z385" s="6"/>
      <c r="AA385" s="6"/>
      <c r="AB385" s="6"/>
      <c r="AC385" s="6"/>
      <c r="AD385" s="6"/>
      <c r="AE385" s="75"/>
      <c r="AF385" s="45"/>
    </row>
    <row r="386" spans="2:32" customFormat="1" x14ac:dyDescent="0.25">
      <c r="B386" s="127"/>
      <c r="D386" s="234"/>
      <c r="E386" s="234"/>
      <c r="V386" s="262"/>
      <c r="W386" s="254"/>
      <c r="X386" s="254"/>
      <c r="Y386" s="154"/>
      <c r="Z386" s="6"/>
      <c r="AA386" s="6"/>
      <c r="AB386" s="6"/>
      <c r="AC386" s="6"/>
      <c r="AD386" s="6"/>
      <c r="AE386" s="75"/>
      <c r="AF386" s="45"/>
    </row>
    <row r="387" spans="2:32" customFormat="1" x14ac:dyDescent="0.25">
      <c r="B387" s="127"/>
      <c r="D387" s="234"/>
      <c r="E387" s="234"/>
      <c r="V387" s="262"/>
      <c r="W387" s="254"/>
      <c r="X387" s="254"/>
      <c r="Y387" s="154"/>
      <c r="Z387" s="6"/>
      <c r="AA387" s="6"/>
      <c r="AB387" s="6"/>
      <c r="AC387" s="6"/>
      <c r="AD387" s="6"/>
      <c r="AE387" s="75"/>
      <c r="AF387" s="45"/>
    </row>
    <row r="388" spans="2:32" customFormat="1" x14ac:dyDescent="0.25">
      <c r="B388" s="127"/>
      <c r="D388" s="234"/>
      <c r="E388" s="234"/>
      <c r="V388" s="262"/>
      <c r="W388" s="254"/>
      <c r="X388" s="254"/>
      <c r="Y388" s="154"/>
      <c r="Z388" s="6"/>
      <c r="AA388" s="6"/>
      <c r="AB388" s="6"/>
      <c r="AC388" s="6"/>
      <c r="AD388" s="6"/>
      <c r="AE388" s="75"/>
      <c r="AF388" s="45"/>
    </row>
    <row r="389" spans="2:32" customFormat="1" x14ac:dyDescent="0.25">
      <c r="B389" s="127"/>
      <c r="D389" s="234"/>
      <c r="E389" s="234"/>
      <c r="V389" s="262"/>
      <c r="W389" s="254"/>
      <c r="X389" s="254"/>
      <c r="Y389" s="154"/>
      <c r="Z389" s="6"/>
      <c r="AA389" s="6"/>
      <c r="AB389" s="6"/>
      <c r="AC389" s="6"/>
      <c r="AD389" s="6"/>
      <c r="AE389" s="75"/>
      <c r="AF389" s="45"/>
    </row>
    <row r="390" spans="2:32" customFormat="1" x14ac:dyDescent="0.25">
      <c r="B390" s="127"/>
      <c r="D390" s="234"/>
      <c r="E390" s="234"/>
      <c r="V390" s="262"/>
      <c r="W390" s="254"/>
      <c r="X390" s="254"/>
      <c r="Y390" s="154"/>
      <c r="Z390" s="6"/>
      <c r="AA390" s="6"/>
      <c r="AB390" s="6"/>
      <c r="AC390" s="6"/>
      <c r="AD390" s="6"/>
      <c r="AE390" s="75"/>
      <c r="AF390" s="45"/>
    </row>
    <row r="391" spans="2:32" customFormat="1" x14ac:dyDescent="0.25">
      <c r="B391" s="127"/>
      <c r="D391" s="234"/>
      <c r="E391" s="234"/>
      <c r="V391" s="262"/>
      <c r="W391" s="254"/>
      <c r="X391" s="254"/>
      <c r="Y391" s="154"/>
      <c r="Z391" s="6"/>
      <c r="AA391" s="6"/>
      <c r="AB391" s="6"/>
      <c r="AC391" s="6"/>
      <c r="AD391" s="6"/>
      <c r="AE391" s="75"/>
      <c r="AF391" s="45"/>
    </row>
    <row r="392" spans="2:32" customFormat="1" x14ac:dyDescent="0.25">
      <c r="B392" s="127"/>
      <c r="D392" s="234"/>
      <c r="E392" s="234"/>
      <c r="V392" s="262"/>
      <c r="W392" s="254"/>
      <c r="X392" s="254"/>
      <c r="Y392" s="154"/>
      <c r="Z392" s="6"/>
      <c r="AA392" s="6"/>
      <c r="AB392" s="6"/>
      <c r="AC392" s="6"/>
      <c r="AD392" s="6"/>
      <c r="AE392" s="75"/>
      <c r="AF392" s="45"/>
    </row>
    <row r="393" spans="2:32" customFormat="1" x14ac:dyDescent="0.25">
      <c r="B393" s="127"/>
      <c r="D393" s="234"/>
      <c r="E393" s="234"/>
      <c r="V393" s="262"/>
      <c r="W393" s="254"/>
      <c r="X393" s="254"/>
      <c r="Y393" s="154"/>
      <c r="Z393" s="6"/>
      <c r="AA393" s="6"/>
      <c r="AB393" s="6"/>
      <c r="AC393" s="6"/>
      <c r="AD393" s="6"/>
      <c r="AE393" s="75"/>
      <c r="AF393" s="45"/>
    </row>
    <row r="394" spans="2:32" customFormat="1" x14ac:dyDescent="0.25">
      <c r="B394" s="127"/>
      <c r="D394" s="234"/>
      <c r="E394" s="234"/>
      <c r="V394" s="262"/>
      <c r="W394" s="254"/>
      <c r="X394" s="254"/>
      <c r="Y394" s="154"/>
      <c r="Z394" s="6"/>
      <c r="AA394" s="6"/>
      <c r="AB394" s="6"/>
      <c r="AC394" s="6"/>
      <c r="AD394" s="6"/>
      <c r="AE394" s="75"/>
      <c r="AF394" s="45"/>
    </row>
    <row r="395" spans="2:32" customFormat="1" x14ac:dyDescent="0.25">
      <c r="B395" s="127"/>
      <c r="D395" s="234"/>
      <c r="E395" s="234"/>
      <c r="V395" s="262"/>
      <c r="W395" s="254"/>
      <c r="X395" s="254"/>
      <c r="Y395" s="154"/>
      <c r="Z395" s="6"/>
      <c r="AA395" s="6"/>
      <c r="AB395" s="6"/>
      <c r="AC395" s="6"/>
      <c r="AD395" s="6"/>
      <c r="AE395" s="75"/>
      <c r="AF395" s="45"/>
    </row>
    <row r="396" spans="2:32" customFormat="1" x14ac:dyDescent="0.25">
      <c r="B396" s="127"/>
      <c r="D396" s="234"/>
      <c r="E396" s="234"/>
      <c r="V396" s="262"/>
      <c r="W396" s="254"/>
      <c r="X396" s="254"/>
      <c r="Y396" s="154"/>
      <c r="Z396" s="6"/>
      <c r="AA396" s="6"/>
      <c r="AB396" s="6"/>
      <c r="AC396" s="6"/>
      <c r="AD396" s="6"/>
      <c r="AE396" s="75"/>
      <c r="AF396" s="45"/>
    </row>
    <row r="397" spans="2:32" customFormat="1" x14ac:dyDescent="0.25">
      <c r="B397" s="127"/>
      <c r="D397" s="234"/>
      <c r="E397" s="234"/>
      <c r="V397" s="262"/>
      <c r="W397" s="254"/>
      <c r="X397" s="254"/>
      <c r="Y397" s="154"/>
      <c r="Z397" s="6"/>
      <c r="AA397" s="6"/>
      <c r="AB397" s="6"/>
      <c r="AC397" s="6"/>
      <c r="AD397" s="6"/>
      <c r="AE397" s="75"/>
      <c r="AF397" s="45"/>
    </row>
    <row r="398" spans="2:32" customFormat="1" x14ac:dyDescent="0.25">
      <c r="B398" s="127"/>
      <c r="D398" s="234"/>
      <c r="E398" s="234"/>
      <c r="V398" s="262"/>
      <c r="W398" s="254"/>
      <c r="X398" s="254"/>
      <c r="Y398" s="154"/>
      <c r="Z398" s="6"/>
      <c r="AA398" s="6"/>
      <c r="AB398" s="6"/>
      <c r="AC398" s="6"/>
      <c r="AD398" s="6"/>
      <c r="AE398" s="75"/>
      <c r="AF398" s="45"/>
    </row>
    <row r="399" spans="2:32" customFormat="1" x14ac:dyDescent="0.25">
      <c r="B399" s="127"/>
      <c r="D399" s="234"/>
      <c r="E399" s="234"/>
      <c r="V399" s="262"/>
      <c r="W399" s="254"/>
      <c r="X399" s="254"/>
      <c r="Y399" s="154"/>
      <c r="Z399" s="6"/>
      <c r="AA399" s="6"/>
      <c r="AB399" s="6"/>
      <c r="AC399" s="6"/>
      <c r="AD399" s="6"/>
      <c r="AE399" s="75"/>
      <c r="AF399" s="45"/>
    </row>
    <row r="400" spans="2:32" customFormat="1" x14ac:dyDescent="0.25">
      <c r="B400" s="127"/>
      <c r="D400" s="234"/>
      <c r="E400" s="234"/>
      <c r="V400" s="262"/>
      <c r="W400" s="254"/>
      <c r="X400" s="254"/>
      <c r="Y400" s="154"/>
      <c r="Z400" s="6"/>
      <c r="AA400" s="6"/>
      <c r="AB400" s="6"/>
      <c r="AC400" s="6"/>
      <c r="AD400" s="6"/>
      <c r="AE400" s="75"/>
      <c r="AF400" s="45"/>
    </row>
    <row r="401" spans="2:32" customFormat="1" x14ac:dyDescent="0.25">
      <c r="B401" s="127"/>
      <c r="D401" s="234"/>
      <c r="E401" s="234"/>
      <c r="V401" s="262"/>
      <c r="W401" s="254"/>
      <c r="X401" s="254"/>
      <c r="Y401" s="154"/>
      <c r="Z401" s="6"/>
      <c r="AA401" s="6"/>
      <c r="AB401" s="6"/>
      <c r="AC401" s="6"/>
      <c r="AD401" s="6"/>
      <c r="AE401" s="75"/>
      <c r="AF401" s="45"/>
    </row>
    <row r="402" spans="2:32" customFormat="1" x14ac:dyDescent="0.25">
      <c r="B402" s="127"/>
      <c r="D402" s="234"/>
      <c r="E402" s="234"/>
      <c r="V402" s="262"/>
      <c r="W402" s="254"/>
      <c r="X402" s="254"/>
      <c r="Y402" s="154"/>
      <c r="Z402" s="6"/>
      <c r="AA402" s="6"/>
      <c r="AB402" s="6"/>
      <c r="AC402" s="6"/>
      <c r="AD402" s="6"/>
      <c r="AE402" s="75"/>
      <c r="AF402" s="45"/>
    </row>
    <row r="403" spans="2:32" customFormat="1" x14ac:dyDescent="0.25">
      <c r="B403" s="127"/>
      <c r="D403" s="234"/>
      <c r="E403" s="234"/>
      <c r="V403" s="262"/>
      <c r="W403" s="254"/>
      <c r="X403" s="254"/>
      <c r="Y403" s="154"/>
      <c r="Z403" s="6"/>
      <c r="AA403" s="6"/>
      <c r="AB403" s="6"/>
      <c r="AC403" s="6"/>
      <c r="AD403" s="6"/>
      <c r="AE403" s="75"/>
      <c r="AF403" s="45"/>
    </row>
    <row r="404" spans="2:32" customFormat="1" x14ac:dyDescent="0.25">
      <c r="B404" s="127"/>
      <c r="D404" s="234"/>
      <c r="E404" s="234"/>
      <c r="V404" s="262"/>
      <c r="W404" s="254"/>
      <c r="X404" s="254"/>
      <c r="Y404" s="154"/>
      <c r="Z404" s="6"/>
      <c r="AA404" s="6"/>
      <c r="AB404" s="6"/>
      <c r="AC404" s="6"/>
      <c r="AD404" s="6"/>
      <c r="AE404" s="75"/>
      <c r="AF404" s="45"/>
    </row>
    <row r="405" spans="2:32" customFormat="1" x14ac:dyDescent="0.25">
      <c r="B405" s="127"/>
      <c r="D405" s="234"/>
      <c r="E405" s="234"/>
      <c r="V405" s="262"/>
      <c r="W405" s="254"/>
      <c r="X405" s="254"/>
      <c r="Y405" s="154"/>
      <c r="Z405" s="6"/>
      <c r="AA405" s="6"/>
      <c r="AB405" s="6"/>
      <c r="AC405" s="6"/>
      <c r="AD405" s="6"/>
      <c r="AE405" s="75"/>
      <c r="AF405" s="45"/>
    </row>
    <row r="406" spans="2:32" customFormat="1" x14ac:dyDescent="0.25">
      <c r="B406" s="127"/>
      <c r="D406" s="234"/>
      <c r="E406" s="234"/>
      <c r="V406" s="262"/>
      <c r="W406" s="254"/>
      <c r="X406" s="254"/>
      <c r="Y406" s="154"/>
      <c r="Z406" s="6"/>
      <c r="AA406" s="6"/>
      <c r="AB406" s="6"/>
      <c r="AC406" s="6"/>
      <c r="AD406" s="6"/>
      <c r="AE406" s="75"/>
      <c r="AF406" s="45"/>
    </row>
    <row r="407" spans="2:32" customFormat="1" x14ac:dyDescent="0.25">
      <c r="B407" s="127"/>
      <c r="D407" s="234"/>
      <c r="E407" s="234"/>
      <c r="V407" s="262"/>
      <c r="W407" s="254"/>
      <c r="X407" s="254"/>
      <c r="Y407" s="154"/>
      <c r="Z407" s="6"/>
      <c r="AA407" s="6"/>
      <c r="AB407" s="6"/>
      <c r="AC407" s="6"/>
      <c r="AD407" s="6"/>
      <c r="AE407" s="75"/>
      <c r="AF407" s="45"/>
    </row>
    <row r="408" spans="2:32" customFormat="1" x14ac:dyDescent="0.25">
      <c r="B408" s="127"/>
      <c r="D408" s="234"/>
      <c r="E408" s="234"/>
      <c r="V408" s="262"/>
      <c r="W408" s="254"/>
      <c r="X408" s="254"/>
      <c r="Y408" s="154"/>
      <c r="Z408" s="6"/>
      <c r="AA408" s="6"/>
      <c r="AB408" s="6"/>
      <c r="AC408" s="6"/>
      <c r="AD408" s="6"/>
      <c r="AE408" s="75"/>
      <c r="AF408" s="45"/>
    </row>
    <row r="409" spans="2:32" customFormat="1" x14ac:dyDescent="0.25">
      <c r="B409" s="127"/>
      <c r="D409" s="234"/>
      <c r="E409" s="234"/>
      <c r="V409" s="262"/>
      <c r="W409" s="254"/>
      <c r="X409" s="254"/>
      <c r="Y409" s="154"/>
      <c r="Z409" s="6"/>
      <c r="AA409" s="6"/>
      <c r="AB409" s="6"/>
      <c r="AC409" s="6"/>
      <c r="AD409" s="6"/>
      <c r="AE409" s="75"/>
      <c r="AF409" s="45"/>
    </row>
    <row r="410" spans="2:32" customFormat="1" x14ac:dyDescent="0.25">
      <c r="B410" s="127"/>
      <c r="D410" s="234"/>
      <c r="E410" s="234"/>
      <c r="V410" s="262"/>
      <c r="W410" s="254"/>
      <c r="X410" s="254"/>
      <c r="Y410" s="154"/>
      <c r="Z410" s="6"/>
      <c r="AA410" s="6"/>
      <c r="AB410" s="6"/>
      <c r="AC410" s="6"/>
      <c r="AD410" s="6"/>
      <c r="AE410" s="75"/>
      <c r="AF410" s="45"/>
    </row>
    <row r="411" spans="2:32" customFormat="1" x14ac:dyDescent="0.25">
      <c r="B411" s="127"/>
      <c r="D411" s="234"/>
      <c r="E411" s="234"/>
      <c r="V411" s="262"/>
      <c r="W411" s="254"/>
      <c r="X411" s="254"/>
      <c r="Y411" s="154"/>
      <c r="Z411" s="6"/>
      <c r="AA411" s="6"/>
      <c r="AB411" s="6"/>
      <c r="AC411" s="6"/>
      <c r="AD411" s="6"/>
      <c r="AE411" s="75"/>
      <c r="AF411" s="45"/>
    </row>
    <row r="412" spans="2:32" customFormat="1" x14ac:dyDescent="0.25">
      <c r="B412" s="127"/>
      <c r="D412" s="234"/>
      <c r="E412" s="234"/>
      <c r="V412" s="262"/>
      <c r="W412" s="254"/>
      <c r="X412" s="254"/>
      <c r="Y412" s="154"/>
      <c r="Z412" s="6"/>
      <c r="AA412" s="6"/>
      <c r="AB412" s="6"/>
      <c r="AC412" s="6"/>
      <c r="AD412" s="6"/>
      <c r="AE412" s="75"/>
      <c r="AF412" s="45"/>
    </row>
    <row r="413" spans="2:32" customFormat="1" x14ac:dyDescent="0.25">
      <c r="B413" s="127"/>
      <c r="D413" s="234"/>
      <c r="E413" s="234"/>
      <c r="V413" s="262"/>
      <c r="W413" s="254"/>
      <c r="X413" s="254"/>
      <c r="Y413" s="154"/>
      <c r="Z413" s="6"/>
      <c r="AA413" s="6"/>
      <c r="AB413" s="6"/>
      <c r="AC413" s="6"/>
      <c r="AD413" s="6"/>
      <c r="AE413" s="75"/>
      <c r="AF413" s="45"/>
    </row>
    <row r="414" spans="2:32" customFormat="1" x14ac:dyDescent="0.25">
      <c r="B414" s="127"/>
      <c r="D414" s="234"/>
      <c r="E414" s="234"/>
      <c r="V414" s="262"/>
      <c r="W414" s="254"/>
      <c r="X414" s="254"/>
      <c r="Y414" s="154"/>
      <c r="Z414" s="6"/>
      <c r="AA414" s="6"/>
      <c r="AB414" s="6"/>
      <c r="AC414" s="6"/>
      <c r="AD414" s="6"/>
      <c r="AE414" s="75"/>
      <c r="AF414" s="45"/>
    </row>
    <row r="415" spans="2:32" customFormat="1" x14ac:dyDescent="0.25">
      <c r="B415" s="127"/>
      <c r="D415" s="234"/>
      <c r="E415" s="234"/>
      <c r="V415" s="262"/>
      <c r="W415" s="254"/>
      <c r="X415" s="254"/>
      <c r="Y415" s="154"/>
      <c r="Z415" s="6"/>
      <c r="AA415" s="6"/>
      <c r="AB415" s="6"/>
      <c r="AC415" s="6"/>
      <c r="AD415" s="6"/>
      <c r="AE415" s="75"/>
      <c r="AF415" s="45"/>
    </row>
    <row r="416" spans="2:32" customFormat="1" x14ac:dyDescent="0.25">
      <c r="B416" s="127"/>
      <c r="D416" s="234"/>
      <c r="E416" s="234"/>
      <c r="V416" s="262"/>
      <c r="W416" s="254"/>
      <c r="X416" s="254"/>
      <c r="Y416" s="154"/>
      <c r="Z416" s="6"/>
      <c r="AA416" s="6"/>
      <c r="AB416" s="6"/>
      <c r="AC416" s="6"/>
      <c r="AD416" s="6"/>
      <c r="AE416" s="75"/>
      <c r="AF416" s="45"/>
    </row>
    <row r="417" spans="2:32" customFormat="1" x14ac:dyDescent="0.25">
      <c r="B417" s="127"/>
      <c r="D417" s="234"/>
      <c r="E417" s="234"/>
      <c r="V417" s="262"/>
      <c r="W417" s="254"/>
      <c r="X417" s="254"/>
      <c r="Y417" s="154"/>
      <c r="Z417" s="6"/>
      <c r="AA417" s="6"/>
      <c r="AB417" s="6"/>
      <c r="AC417" s="6"/>
      <c r="AD417" s="6"/>
      <c r="AE417" s="75"/>
      <c r="AF417" s="45"/>
    </row>
    <row r="418" spans="2:32" customFormat="1" x14ac:dyDescent="0.25">
      <c r="B418" s="127"/>
      <c r="D418" s="234"/>
      <c r="E418" s="234"/>
      <c r="V418" s="262"/>
      <c r="W418" s="254"/>
      <c r="X418" s="254"/>
      <c r="Y418" s="154"/>
      <c r="Z418" s="6"/>
      <c r="AA418" s="6"/>
      <c r="AB418" s="6"/>
      <c r="AC418" s="6"/>
      <c r="AD418" s="6"/>
      <c r="AE418" s="75"/>
      <c r="AF418" s="45"/>
    </row>
    <row r="419" spans="2:32" customFormat="1" x14ac:dyDescent="0.25">
      <c r="B419" s="127"/>
      <c r="D419" s="234"/>
      <c r="E419" s="234"/>
      <c r="V419" s="262"/>
      <c r="W419" s="254"/>
      <c r="X419" s="254"/>
      <c r="Y419" s="154"/>
      <c r="Z419" s="6"/>
      <c r="AA419" s="6"/>
      <c r="AB419" s="6"/>
      <c r="AC419" s="6"/>
      <c r="AD419" s="6"/>
      <c r="AE419" s="75"/>
      <c r="AF419" s="45"/>
    </row>
    <row r="420" spans="2:32" customFormat="1" x14ac:dyDescent="0.25">
      <c r="B420" s="127"/>
      <c r="D420" s="234"/>
      <c r="E420" s="234"/>
      <c r="V420" s="262"/>
      <c r="W420" s="254"/>
      <c r="X420" s="254"/>
      <c r="Y420" s="154"/>
      <c r="Z420" s="6"/>
      <c r="AA420" s="6"/>
      <c r="AB420" s="6"/>
      <c r="AC420" s="6"/>
      <c r="AD420" s="6"/>
      <c r="AE420" s="75"/>
      <c r="AF420" s="45"/>
    </row>
    <row r="421" spans="2:32" customFormat="1" x14ac:dyDescent="0.25">
      <c r="B421" s="127"/>
      <c r="D421" s="234"/>
      <c r="E421" s="234"/>
      <c r="V421" s="262"/>
      <c r="W421" s="254"/>
      <c r="X421" s="254"/>
      <c r="Y421" s="154"/>
      <c r="Z421" s="6"/>
      <c r="AA421" s="6"/>
      <c r="AB421" s="6"/>
      <c r="AC421" s="6"/>
      <c r="AD421" s="6"/>
      <c r="AE421" s="75"/>
      <c r="AF421" s="45"/>
    </row>
    <row r="422" spans="2:32" customFormat="1" x14ac:dyDescent="0.25">
      <c r="B422" s="127"/>
      <c r="D422" s="234"/>
      <c r="E422" s="234"/>
      <c r="V422" s="262"/>
      <c r="W422" s="254"/>
      <c r="X422" s="254"/>
      <c r="Y422" s="154"/>
      <c r="Z422" s="6"/>
      <c r="AA422" s="6"/>
      <c r="AB422" s="6"/>
      <c r="AC422" s="6"/>
      <c r="AD422" s="6"/>
      <c r="AE422" s="75"/>
      <c r="AF422" s="45"/>
    </row>
    <row r="423" spans="2:32" customFormat="1" x14ac:dyDescent="0.25">
      <c r="B423" s="127"/>
      <c r="D423" s="234"/>
      <c r="E423" s="234"/>
      <c r="V423" s="262"/>
      <c r="W423" s="254"/>
      <c r="X423" s="254"/>
      <c r="Y423" s="154"/>
      <c r="Z423" s="6"/>
      <c r="AA423" s="6"/>
      <c r="AB423" s="6"/>
      <c r="AC423" s="6"/>
      <c r="AD423" s="6"/>
      <c r="AE423" s="75"/>
      <c r="AF423" s="45"/>
    </row>
    <row r="424" spans="2:32" customFormat="1" x14ac:dyDescent="0.25">
      <c r="B424" s="127"/>
      <c r="D424" s="234"/>
      <c r="E424" s="234"/>
      <c r="V424" s="262"/>
      <c r="W424" s="254"/>
      <c r="X424" s="254"/>
      <c r="Y424" s="154"/>
      <c r="Z424" s="6"/>
      <c r="AA424" s="6"/>
      <c r="AB424" s="6"/>
      <c r="AC424" s="6"/>
      <c r="AD424" s="6"/>
      <c r="AE424" s="75"/>
      <c r="AF424" s="45"/>
    </row>
    <row r="425" spans="2:32" customFormat="1" x14ac:dyDescent="0.25">
      <c r="B425" s="127"/>
      <c r="D425" s="234"/>
      <c r="E425" s="234"/>
      <c r="V425" s="262"/>
      <c r="W425" s="254"/>
      <c r="X425" s="254"/>
      <c r="Y425" s="154"/>
      <c r="Z425" s="6"/>
      <c r="AA425" s="6"/>
      <c r="AB425" s="6"/>
      <c r="AC425" s="6"/>
      <c r="AD425" s="6"/>
      <c r="AE425" s="75"/>
      <c r="AF425" s="45"/>
    </row>
    <row r="426" spans="2:32" customFormat="1" x14ac:dyDescent="0.25">
      <c r="B426" s="127"/>
      <c r="D426" s="234"/>
      <c r="E426" s="234"/>
      <c r="V426" s="262"/>
      <c r="W426" s="254"/>
      <c r="X426" s="254"/>
      <c r="Y426" s="154"/>
      <c r="Z426" s="6"/>
      <c r="AA426" s="6"/>
      <c r="AB426" s="6"/>
      <c r="AC426" s="6"/>
      <c r="AD426" s="6"/>
      <c r="AE426" s="75"/>
      <c r="AF426" s="45"/>
    </row>
    <row r="427" spans="2:32" customFormat="1" x14ac:dyDescent="0.25">
      <c r="B427" s="127"/>
      <c r="D427" s="234"/>
      <c r="E427" s="234"/>
      <c r="V427" s="262"/>
      <c r="W427" s="254"/>
      <c r="X427" s="254"/>
      <c r="Y427" s="154"/>
      <c r="Z427" s="6"/>
      <c r="AA427" s="6"/>
      <c r="AB427" s="6"/>
      <c r="AC427" s="6"/>
      <c r="AD427" s="6"/>
      <c r="AE427" s="75"/>
      <c r="AF427" s="45"/>
    </row>
    <row r="428" spans="2:32" customFormat="1" x14ac:dyDescent="0.25">
      <c r="B428" s="127"/>
      <c r="D428" s="234"/>
      <c r="E428" s="234"/>
      <c r="V428" s="262"/>
      <c r="W428" s="254"/>
      <c r="X428" s="254"/>
      <c r="Y428" s="154"/>
      <c r="Z428" s="6"/>
      <c r="AA428" s="6"/>
      <c r="AB428" s="6"/>
      <c r="AC428" s="6"/>
      <c r="AD428" s="6"/>
      <c r="AE428" s="75"/>
      <c r="AF428" s="45"/>
    </row>
    <row r="429" spans="2:32" customFormat="1" x14ac:dyDescent="0.25">
      <c r="B429" s="127"/>
      <c r="D429" s="234"/>
      <c r="E429" s="234"/>
      <c r="V429" s="262"/>
      <c r="W429" s="254"/>
      <c r="X429" s="254"/>
      <c r="Y429" s="154"/>
      <c r="Z429" s="6"/>
      <c r="AA429" s="6"/>
      <c r="AB429" s="6"/>
      <c r="AC429" s="6"/>
      <c r="AD429" s="6"/>
      <c r="AE429" s="75"/>
      <c r="AF429" s="45"/>
    </row>
    <row r="430" spans="2:32" customFormat="1" x14ac:dyDescent="0.25">
      <c r="B430" s="127"/>
      <c r="D430" s="234"/>
      <c r="E430" s="234"/>
      <c r="V430" s="262"/>
      <c r="W430" s="254"/>
      <c r="X430" s="254"/>
      <c r="Y430" s="154"/>
      <c r="Z430" s="6"/>
      <c r="AA430" s="6"/>
      <c r="AB430" s="6"/>
      <c r="AC430" s="6"/>
      <c r="AD430" s="6"/>
      <c r="AE430" s="75"/>
      <c r="AF430" s="45"/>
    </row>
    <row r="431" spans="2:32" customFormat="1" x14ac:dyDescent="0.25">
      <c r="B431" s="127"/>
      <c r="D431" s="234"/>
      <c r="E431" s="234"/>
      <c r="V431" s="262"/>
      <c r="W431" s="254"/>
      <c r="X431" s="254"/>
      <c r="Y431" s="154"/>
      <c r="Z431" s="6"/>
      <c r="AA431" s="6"/>
      <c r="AB431" s="6"/>
      <c r="AC431" s="6"/>
      <c r="AD431" s="6"/>
      <c r="AE431" s="75"/>
      <c r="AF431" s="45"/>
    </row>
    <row r="432" spans="2:32" customFormat="1" x14ac:dyDescent="0.25">
      <c r="B432" s="127"/>
      <c r="D432" s="234"/>
      <c r="E432" s="234"/>
      <c r="V432" s="262"/>
      <c r="W432" s="254"/>
      <c r="X432" s="254"/>
      <c r="Y432" s="154"/>
      <c r="Z432" s="6"/>
      <c r="AA432" s="6"/>
      <c r="AB432" s="6"/>
      <c r="AC432" s="6"/>
      <c r="AD432" s="6"/>
      <c r="AE432" s="75"/>
      <c r="AF432" s="45"/>
    </row>
    <row r="433" spans="2:32" customFormat="1" x14ac:dyDescent="0.25">
      <c r="B433" s="127"/>
      <c r="D433" s="234"/>
      <c r="E433" s="234"/>
      <c r="V433" s="262"/>
      <c r="W433" s="254"/>
      <c r="X433" s="254"/>
      <c r="Y433" s="154"/>
      <c r="Z433" s="6"/>
      <c r="AA433" s="6"/>
      <c r="AB433" s="6"/>
      <c r="AC433" s="6"/>
      <c r="AD433" s="6"/>
      <c r="AE433" s="75"/>
      <c r="AF433" s="45"/>
    </row>
    <row r="434" spans="2:32" customFormat="1" x14ac:dyDescent="0.25">
      <c r="B434" s="127"/>
      <c r="D434" s="234"/>
      <c r="E434" s="234"/>
      <c r="V434" s="262"/>
      <c r="W434" s="254"/>
      <c r="X434" s="254"/>
      <c r="Y434" s="154"/>
      <c r="Z434" s="6"/>
      <c r="AA434" s="6"/>
      <c r="AB434" s="6"/>
      <c r="AC434" s="6"/>
      <c r="AD434" s="6"/>
      <c r="AE434" s="75"/>
      <c r="AF434" s="45"/>
    </row>
    <row r="435" spans="2:32" customFormat="1" x14ac:dyDescent="0.25">
      <c r="B435" s="127"/>
      <c r="D435" s="234"/>
      <c r="E435" s="234"/>
      <c r="V435" s="262"/>
      <c r="W435" s="254"/>
      <c r="X435" s="254"/>
      <c r="Y435" s="154"/>
      <c r="Z435" s="6"/>
      <c r="AA435" s="6"/>
      <c r="AB435" s="6"/>
      <c r="AC435" s="6"/>
      <c r="AD435" s="6"/>
      <c r="AE435" s="75"/>
      <c r="AF435" s="45"/>
    </row>
    <row r="436" spans="2:32" customFormat="1" x14ac:dyDescent="0.25">
      <c r="B436" s="127"/>
      <c r="D436" s="234"/>
      <c r="E436" s="234"/>
      <c r="V436" s="262"/>
      <c r="W436" s="254"/>
      <c r="X436" s="254"/>
      <c r="Y436" s="154"/>
      <c r="Z436" s="6"/>
      <c r="AA436" s="6"/>
      <c r="AB436" s="6"/>
      <c r="AC436" s="6"/>
      <c r="AD436" s="6"/>
      <c r="AE436" s="75"/>
      <c r="AF436" s="45"/>
    </row>
    <row r="437" spans="2:32" customFormat="1" x14ac:dyDescent="0.25">
      <c r="B437" s="127"/>
      <c r="D437" s="234"/>
      <c r="E437" s="234"/>
      <c r="V437" s="262"/>
      <c r="W437" s="254"/>
      <c r="X437" s="254"/>
      <c r="Y437" s="154"/>
      <c r="Z437" s="6"/>
      <c r="AA437" s="6"/>
      <c r="AB437" s="6"/>
      <c r="AC437" s="6"/>
      <c r="AD437" s="6"/>
      <c r="AE437" s="75"/>
      <c r="AF437" s="45"/>
    </row>
    <row r="438" spans="2:32" customFormat="1" x14ac:dyDescent="0.25">
      <c r="B438" s="127"/>
      <c r="D438" s="234"/>
      <c r="E438" s="234"/>
      <c r="V438" s="262"/>
      <c r="W438" s="254"/>
      <c r="X438" s="254"/>
      <c r="Y438" s="154"/>
      <c r="Z438" s="6"/>
      <c r="AA438" s="6"/>
      <c r="AB438" s="6"/>
      <c r="AC438" s="6"/>
      <c r="AD438" s="6"/>
      <c r="AE438" s="75"/>
      <c r="AF438" s="45"/>
    </row>
    <row r="439" spans="2:32" customFormat="1" x14ac:dyDescent="0.25">
      <c r="B439" s="127"/>
      <c r="D439" s="234"/>
      <c r="E439" s="234"/>
      <c r="V439" s="262"/>
      <c r="W439" s="254"/>
      <c r="X439" s="254"/>
      <c r="Y439" s="154"/>
      <c r="Z439" s="6"/>
      <c r="AA439" s="6"/>
      <c r="AB439" s="6"/>
      <c r="AC439" s="6"/>
      <c r="AD439" s="6"/>
      <c r="AE439" s="75"/>
      <c r="AF439" s="45"/>
    </row>
    <row r="440" spans="2:32" customFormat="1" x14ac:dyDescent="0.25">
      <c r="B440" s="127"/>
      <c r="D440" s="234"/>
      <c r="E440" s="234"/>
      <c r="V440" s="262"/>
      <c r="W440" s="254"/>
      <c r="X440" s="254"/>
      <c r="Y440" s="154"/>
      <c r="Z440" s="6"/>
      <c r="AA440" s="6"/>
      <c r="AB440" s="6"/>
      <c r="AC440" s="6"/>
      <c r="AD440" s="6"/>
      <c r="AE440" s="75"/>
      <c r="AF440" s="45"/>
    </row>
    <row r="441" spans="2:32" customFormat="1" x14ac:dyDescent="0.25">
      <c r="B441" s="127"/>
      <c r="D441" s="234"/>
      <c r="E441" s="234"/>
      <c r="V441" s="262"/>
      <c r="W441" s="254"/>
      <c r="X441" s="254"/>
      <c r="Y441" s="154"/>
      <c r="Z441" s="6"/>
      <c r="AA441" s="6"/>
      <c r="AB441" s="6"/>
      <c r="AC441" s="6"/>
      <c r="AD441" s="6"/>
      <c r="AE441" s="75"/>
      <c r="AF441" s="45"/>
    </row>
    <row r="442" spans="2:32" customFormat="1" x14ac:dyDescent="0.25">
      <c r="B442" s="127"/>
      <c r="D442" s="234"/>
      <c r="E442" s="234"/>
      <c r="V442" s="262"/>
      <c r="W442" s="254"/>
      <c r="X442" s="254"/>
      <c r="Y442" s="154"/>
      <c r="Z442" s="6"/>
      <c r="AA442" s="6"/>
      <c r="AB442" s="6"/>
      <c r="AC442" s="6"/>
      <c r="AD442" s="6"/>
      <c r="AE442" s="75"/>
      <c r="AF442" s="45"/>
    </row>
    <row r="443" spans="2:32" customFormat="1" x14ac:dyDescent="0.25">
      <c r="B443" s="127"/>
      <c r="D443" s="234"/>
      <c r="E443" s="234"/>
      <c r="V443" s="262"/>
      <c r="W443" s="254"/>
      <c r="X443" s="254"/>
      <c r="Y443" s="154"/>
      <c r="Z443" s="6"/>
      <c r="AA443" s="6"/>
      <c r="AB443" s="6"/>
      <c r="AC443" s="6"/>
      <c r="AD443" s="6"/>
      <c r="AE443" s="75"/>
      <c r="AF443" s="45"/>
    </row>
    <row r="444" spans="2:32" customFormat="1" x14ac:dyDescent="0.25">
      <c r="B444" s="127"/>
      <c r="D444" s="234"/>
      <c r="E444" s="234"/>
      <c r="V444" s="262"/>
      <c r="W444" s="254"/>
      <c r="X444" s="254"/>
      <c r="Y444" s="154"/>
      <c r="Z444" s="6"/>
      <c r="AA444" s="6"/>
      <c r="AB444" s="6"/>
      <c r="AC444" s="6"/>
      <c r="AD444" s="6"/>
      <c r="AE444" s="75"/>
      <c r="AF444" s="45"/>
    </row>
    <row r="445" spans="2:32" customFormat="1" x14ac:dyDescent="0.25">
      <c r="B445" s="127"/>
      <c r="D445" s="234"/>
      <c r="E445" s="234"/>
      <c r="V445" s="262"/>
      <c r="W445" s="254"/>
      <c r="X445" s="254"/>
      <c r="Y445" s="154"/>
      <c r="Z445" s="6"/>
      <c r="AA445" s="6"/>
      <c r="AB445" s="6"/>
      <c r="AC445" s="6"/>
      <c r="AD445" s="6"/>
      <c r="AE445" s="75"/>
      <c r="AF445" s="45"/>
    </row>
    <row r="446" spans="2:32" customFormat="1" x14ac:dyDescent="0.25">
      <c r="B446" s="127"/>
      <c r="D446" s="234"/>
      <c r="E446" s="234"/>
      <c r="V446" s="262"/>
      <c r="W446" s="254"/>
      <c r="X446" s="254"/>
      <c r="Y446" s="154"/>
      <c r="Z446" s="6"/>
      <c r="AA446" s="6"/>
      <c r="AB446" s="6"/>
      <c r="AC446" s="6"/>
      <c r="AD446" s="6"/>
      <c r="AE446" s="75"/>
      <c r="AF446" s="45"/>
    </row>
    <row r="447" spans="2:32" customFormat="1" x14ac:dyDescent="0.25">
      <c r="B447" s="127"/>
      <c r="D447" s="234"/>
      <c r="E447" s="234"/>
      <c r="V447" s="262"/>
      <c r="W447" s="254"/>
      <c r="X447" s="254"/>
      <c r="Y447" s="154"/>
      <c r="Z447" s="6"/>
      <c r="AA447" s="6"/>
      <c r="AB447" s="6"/>
      <c r="AC447" s="6"/>
      <c r="AD447" s="6"/>
      <c r="AE447" s="75"/>
      <c r="AF447" s="45"/>
    </row>
    <row r="448" spans="2:32" customFormat="1" x14ac:dyDescent="0.25">
      <c r="B448" s="127"/>
      <c r="D448" s="234"/>
      <c r="E448" s="234"/>
      <c r="V448" s="262"/>
      <c r="W448" s="254"/>
      <c r="X448" s="254"/>
      <c r="Y448" s="154"/>
      <c r="Z448" s="6"/>
      <c r="AA448" s="6"/>
      <c r="AB448" s="6"/>
      <c r="AC448" s="6"/>
      <c r="AD448" s="6"/>
      <c r="AE448" s="75"/>
      <c r="AF448" s="45"/>
    </row>
    <row r="449" spans="2:32" customFormat="1" x14ac:dyDescent="0.25">
      <c r="B449" s="127"/>
      <c r="D449" s="234"/>
      <c r="E449" s="234"/>
      <c r="V449" s="262"/>
      <c r="W449" s="254"/>
      <c r="X449" s="254"/>
      <c r="Y449" s="154"/>
      <c r="Z449" s="6"/>
      <c r="AA449" s="6"/>
      <c r="AB449" s="6"/>
      <c r="AC449" s="6"/>
      <c r="AD449" s="6"/>
      <c r="AE449" s="75"/>
      <c r="AF449" s="45"/>
    </row>
    <row r="450" spans="2:32" customFormat="1" x14ac:dyDescent="0.25">
      <c r="B450" s="127"/>
      <c r="D450" s="234"/>
      <c r="E450" s="234"/>
      <c r="V450" s="262"/>
      <c r="W450" s="254"/>
      <c r="X450" s="254"/>
      <c r="Y450" s="154"/>
      <c r="Z450" s="6"/>
      <c r="AA450" s="6"/>
      <c r="AB450" s="6"/>
      <c r="AC450" s="6"/>
      <c r="AD450" s="6"/>
      <c r="AE450" s="75"/>
      <c r="AF450" s="45"/>
    </row>
    <row r="451" spans="2:32" customFormat="1" x14ac:dyDescent="0.25">
      <c r="B451" s="127"/>
      <c r="D451" s="234"/>
      <c r="E451" s="234"/>
      <c r="V451" s="262"/>
      <c r="W451" s="254"/>
      <c r="X451" s="254"/>
      <c r="Y451" s="154"/>
      <c r="Z451" s="6"/>
      <c r="AA451" s="6"/>
      <c r="AB451" s="6"/>
      <c r="AC451" s="6"/>
      <c r="AD451" s="6"/>
      <c r="AE451" s="75"/>
      <c r="AF451" s="45"/>
    </row>
    <row r="452" spans="2:32" customFormat="1" x14ac:dyDescent="0.25">
      <c r="B452" s="127"/>
      <c r="D452" s="234"/>
      <c r="E452" s="234"/>
      <c r="V452" s="262"/>
      <c r="W452" s="254"/>
      <c r="X452" s="254"/>
      <c r="Y452" s="154"/>
      <c r="Z452" s="6"/>
      <c r="AA452" s="6"/>
      <c r="AB452" s="6"/>
      <c r="AC452" s="6"/>
      <c r="AD452" s="6"/>
      <c r="AE452" s="75"/>
      <c r="AF452" s="45"/>
    </row>
    <row r="453" spans="2:32" customFormat="1" x14ac:dyDescent="0.25">
      <c r="B453" s="127"/>
      <c r="D453" s="234"/>
      <c r="E453" s="234"/>
      <c r="V453" s="262"/>
      <c r="W453" s="254"/>
      <c r="X453" s="254"/>
      <c r="Y453" s="154"/>
      <c r="Z453" s="6"/>
      <c r="AA453" s="6"/>
      <c r="AB453" s="6"/>
      <c r="AC453" s="6"/>
      <c r="AD453" s="6"/>
      <c r="AE453" s="75"/>
      <c r="AF453" s="45"/>
    </row>
    <row r="454" spans="2:32" customFormat="1" x14ac:dyDescent="0.25">
      <c r="B454" s="127"/>
      <c r="D454" s="234"/>
      <c r="E454" s="234"/>
      <c r="V454" s="262"/>
      <c r="W454" s="254"/>
      <c r="X454" s="254"/>
      <c r="Y454" s="154"/>
      <c r="Z454" s="6"/>
      <c r="AA454" s="6"/>
      <c r="AB454" s="6"/>
      <c r="AC454" s="6"/>
      <c r="AD454" s="6"/>
      <c r="AE454" s="75"/>
      <c r="AF454" s="45"/>
    </row>
    <row r="455" spans="2:32" customFormat="1" x14ac:dyDescent="0.25">
      <c r="B455" s="127"/>
      <c r="D455" s="234"/>
      <c r="E455" s="234"/>
      <c r="V455" s="262"/>
      <c r="W455" s="254"/>
      <c r="X455" s="254"/>
      <c r="Y455" s="154"/>
      <c r="Z455" s="6"/>
      <c r="AA455" s="6"/>
      <c r="AB455" s="6"/>
      <c r="AC455" s="6"/>
      <c r="AD455" s="6"/>
      <c r="AE455" s="75"/>
      <c r="AF455" s="45"/>
    </row>
    <row r="456" spans="2:32" customFormat="1" x14ac:dyDescent="0.25">
      <c r="B456" s="127"/>
      <c r="D456" s="234"/>
      <c r="E456" s="234"/>
      <c r="V456" s="262"/>
      <c r="W456" s="254"/>
      <c r="X456" s="254"/>
      <c r="Y456" s="154"/>
      <c r="Z456" s="6"/>
      <c r="AA456" s="6"/>
      <c r="AB456" s="6"/>
      <c r="AC456" s="6"/>
      <c r="AD456" s="6"/>
      <c r="AE456" s="75"/>
      <c r="AF456" s="45"/>
    </row>
    <row r="457" spans="2:32" customFormat="1" x14ac:dyDescent="0.25">
      <c r="B457" s="127"/>
      <c r="D457" s="234"/>
      <c r="E457" s="234"/>
      <c r="V457" s="262"/>
      <c r="W457" s="254"/>
      <c r="X457" s="254"/>
      <c r="Y457" s="154"/>
      <c r="Z457" s="6"/>
      <c r="AA457" s="6"/>
      <c r="AB457" s="6"/>
      <c r="AC457" s="6"/>
      <c r="AD457" s="6"/>
      <c r="AE457" s="75"/>
      <c r="AF457" s="45"/>
    </row>
    <row r="458" spans="2:32" customFormat="1" x14ac:dyDescent="0.25">
      <c r="B458" s="127"/>
      <c r="D458" s="234"/>
      <c r="E458" s="234"/>
      <c r="V458" s="262"/>
      <c r="W458" s="254"/>
      <c r="X458" s="254"/>
      <c r="Y458" s="154"/>
      <c r="Z458" s="6"/>
      <c r="AA458" s="6"/>
      <c r="AB458" s="6"/>
      <c r="AC458" s="6"/>
      <c r="AD458" s="6"/>
      <c r="AE458" s="75"/>
      <c r="AF458" s="45"/>
    </row>
    <row r="459" spans="2:32" customFormat="1" x14ac:dyDescent="0.25">
      <c r="B459" s="127"/>
      <c r="D459" s="234"/>
      <c r="E459" s="234"/>
      <c r="V459" s="262"/>
      <c r="W459" s="254"/>
      <c r="X459" s="254"/>
      <c r="Y459" s="154"/>
      <c r="Z459" s="6"/>
      <c r="AA459" s="6"/>
      <c r="AB459" s="6"/>
      <c r="AC459" s="6"/>
      <c r="AD459" s="6"/>
      <c r="AE459" s="75"/>
      <c r="AF459" s="45"/>
    </row>
    <row r="460" spans="2:32" customFormat="1" x14ac:dyDescent="0.25">
      <c r="B460" s="127"/>
      <c r="D460" s="234"/>
      <c r="E460" s="234"/>
      <c r="V460" s="262"/>
      <c r="W460" s="254"/>
      <c r="X460" s="254"/>
      <c r="Y460" s="154"/>
      <c r="Z460" s="6"/>
      <c r="AA460" s="6"/>
      <c r="AB460" s="6"/>
      <c r="AC460" s="6"/>
      <c r="AD460" s="6"/>
      <c r="AE460" s="75"/>
      <c r="AF460" s="45"/>
    </row>
    <row r="461" spans="2:32" customFormat="1" x14ac:dyDescent="0.25">
      <c r="B461" s="127"/>
      <c r="D461" s="234"/>
      <c r="E461" s="234"/>
      <c r="V461" s="262"/>
      <c r="W461" s="254"/>
      <c r="X461" s="254"/>
      <c r="Y461" s="154"/>
      <c r="Z461" s="6"/>
      <c r="AA461" s="6"/>
      <c r="AB461" s="6"/>
      <c r="AC461" s="6"/>
      <c r="AD461" s="6"/>
      <c r="AE461" s="75"/>
      <c r="AF461" s="45"/>
    </row>
    <row r="462" spans="2:32" customFormat="1" x14ac:dyDescent="0.25">
      <c r="B462" s="127"/>
      <c r="D462" s="234"/>
      <c r="E462" s="234"/>
      <c r="V462" s="262"/>
      <c r="W462" s="254"/>
      <c r="X462" s="254"/>
      <c r="Y462" s="154"/>
      <c r="Z462" s="6"/>
      <c r="AA462" s="6"/>
      <c r="AB462" s="6"/>
      <c r="AC462" s="6"/>
      <c r="AD462" s="6"/>
      <c r="AE462" s="75"/>
      <c r="AF462" s="45"/>
    </row>
    <row r="463" spans="2:32" customFormat="1" x14ac:dyDescent="0.25">
      <c r="B463" s="127"/>
      <c r="D463" s="234"/>
      <c r="E463" s="234"/>
      <c r="V463" s="262"/>
      <c r="W463" s="254"/>
      <c r="X463" s="254"/>
      <c r="Y463" s="154"/>
      <c r="Z463" s="6"/>
      <c r="AA463" s="6"/>
      <c r="AB463" s="6"/>
      <c r="AC463" s="6"/>
      <c r="AD463" s="6"/>
      <c r="AE463" s="75"/>
      <c r="AF463" s="45"/>
    </row>
    <row r="464" spans="2:32" customFormat="1" x14ac:dyDescent="0.25">
      <c r="B464" s="127"/>
      <c r="D464" s="234"/>
      <c r="E464" s="234"/>
      <c r="V464" s="262"/>
      <c r="W464" s="254"/>
      <c r="X464" s="254"/>
      <c r="Y464" s="154"/>
      <c r="Z464" s="6"/>
      <c r="AA464" s="6"/>
      <c r="AB464" s="6"/>
      <c r="AC464" s="6"/>
      <c r="AD464" s="6"/>
      <c r="AE464" s="75"/>
      <c r="AF464" s="45"/>
    </row>
    <row r="465" spans="2:32" customFormat="1" x14ac:dyDescent="0.25">
      <c r="B465" s="127"/>
      <c r="D465" s="234"/>
      <c r="E465" s="234"/>
      <c r="V465" s="262"/>
      <c r="W465" s="254"/>
      <c r="X465" s="254"/>
      <c r="Y465" s="154"/>
      <c r="Z465" s="6"/>
      <c r="AA465" s="6"/>
      <c r="AB465" s="6"/>
      <c r="AC465" s="6"/>
      <c r="AD465" s="6"/>
      <c r="AE465" s="75"/>
      <c r="AF465" s="45"/>
    </row>
    <row r="466" spans="2:32" customFormat="1" x14ac:dyDescent="0.25">
      <c r="B466" s="127"/>
      <c r="D466" s="234"/>
      <c r="E466" s="234"/>
      <c r="V466" s="262"/>
      <c r="W466" s="254"/>
      <c r="X466" s="254"/>
      <c r="Y466" s="154"/>
      <c r="Z466" s="6"/>
      <c r="AA466" s="6"/>
      <c r="AB466" s="6"/>
      <c r="AC466" s="6"/>
      <c r="AD466" s="6"/>
      <c r="AE466" s="75"/>
      <c r="AF466" s="45"/>
    </row>
    <row r="467" spans="2:32" customFormat="1" x14ac:dyDescent="0.25">
      <c r="B467" s="127"/>
      <c r="D467" s="234"/>
      <c r="E467" s="234"/>
      <c r="V467" s="262"/>
      <c r="W467" s="254"/>
      <c r="X467" s="254"/>
      <c r="Y467" s="154"/>
      <c r="Z467" s="6"/>
      <c r="AA467" s="6"/>
      <c r="AB467" s="6"/>
      <c r="AC467" s="6"/>
      <c r="AD467" s="6"/>
      <c r="AE467" s="75"/>
      <c r="AF467" s="45"/>
    </row>
    <row r="468" spans="2:32" customFormat="1" x14ac:dyDescent="0.25">
      <c r="B468" s="127"/>
      <c r="D468" s="234"/>
      <c r="E468" s="234"/>
      <c r="V468" s="262"/>
      <c r="W468" s="254"/>
      <c r="X468" s="254"/>
      <c r="Y468" s="154"/>
      <c r="Z468" s="6"/>
      <c r="AA468" s="6"/>
      <c r="AB468" s="6"/>
      <c r="AC468" s="6"/>
      <c r="AD468" s="6"/>
      <c r="AE468" s="75"/>
      <c r="AF468" s="45"/>
    </row>
    <row r="469" spans="2:32" customFormat="1" x14ac:dyDescent="0.25">
      <c r="B469" s="127"/>
      <c r="D469" s="234"/>
      <c r="E469" s="234"/>
      <c r="V469" s="262"/>
      <c r="W469" s="254"/>
      <c r="X469" s="254"/>
      <c r="Y469" s="154"/>
      <c r="Z469" s="6"/>
      <c r="AA469" s="6"/>
      <c r="AB469" s="6"/>
      <c r="AC469" s="6"/>
      <c r="AD469" s="6"/>
      <c r="AE469" s="75"/>
      <c r="AF469" s="45"/>
    </row>
    <row r="470" spans="2:32" customFormat="1" x14ac:dyDescent="0.25">
      <c r="B470" s="127"/>
      <c r="D470" s="234"/>
      <c r="E470" s="234"/>
      <c r="V470" s="262"/>
      <c r="W470" s="254"/>
      <c r="X470" s="254"/>
      <c r="Y470" s="154"/>
      <c r="Z470" s="6"/>
      <c r="AA470" s="6"/>
      <c r="AB470" s="6"/>
      <c r="AC470" s="6"/>
      <c r="AD470" s="6"/>
      <c r="AE470" s="75"/>
      <c r="AF470" s="45"/>
    </row>
    <row r="471" spans="2:32" customFormat="1" x14ac:dyDescent="0.25">
      <c r="B471" s="127"/>
      <c r="D471" s="234"/>
      <c r="E471" s="234"/>
      <c r="V471" s="262"/>
      <c r="W471" s="254"/>
      <c r="X471" s="254"/>
      <c r="Y471" s="154"/>
      <c r="Z471" s="6"/>
      <c r="AA471" s="6"/>
      <c r="AB471" s="6"/>
      <c r="AC471" s="6"/>
      <c r="AD471" s="6"/>
      <c r="AE471" s="75"/>
      <c r="AF471" s="45"/>
    </row>
    <row r="472" spans="2:32" customFormat="1" x14ac:dyDescent="0.25">
      <c r="B472" s="127"/>
      <c r="D472" s="234"/>
      <c r="E472" s="234"/>
      <c r="V472" s="262"/>
      <c r="W472" s="254"/>
      <c r="X472" s="254"/>
      <c r="Y472" s="154"/>
      <c r="Z472" s="6"/>
      <c r="AA472" s="6"/>
      <c r="AB472" s="6"/>
      <c r="AC472" s="6"/>
      <c r="AD472" s="6"/>
      <c r="AE472" s="75"/>
      <c r="AF472" s="45"/>
    </row>
    <row r="473" spans="2:32" customFormat="1" x14ac:dyDescent="0.25">
      <c r="B473" s="127"/>
      <c r="D473" s="234"/>
      <c r="E473" s="234"/>
      <c r="V473" s="262"/>
      <c r="W473" s="254"/>
      <c r="X473" s="254"/>
      <c r="Y473" s="154"/>
      <c r="Z473" s="6"/>
      <c r="AA473" s="6"/>
      <c r="AB473" s="6"/>
      <c r="AC473" s="6"/>
      <c r="AD473" s="6"/>
      <c r="AE473" s="75"/>
      <c r="AF473" s="45"/>
    </row>
    <row r="474" spans="2:32" customFormat="1" x14ac:dyDescent="0.25">
      <c r="B474" s="127"/>
      <c r="D474" s="234"/>
      <c r="E474" s="234"/>
      <c r="V474" s="262"/>
      <c r="W474" s="254"/>
      <c r="X474" s="254"/>
      <c r="Y474" s="154"/>
      <c r="Z474" s="6"/>
      <c r="AA474" s="6"/>
      <c r="AB474" s="6"/>
      <c r="AC474" s="6"/>
      <c r="AD474" s="6"/>
      <c r="AE474" s="75"/>
      <c r="AF474" s="45"/>
    </row>
    <row r="475" spans="2:32" customFormat="1" x14ac:dyDescent="0.25">
      <c r="B475" s="127"/>
      <c r="D475" s="234"/>
      <c r="E475" s="234"/>
      <c r="V475" s="262"/>
      <c r="W475" s="254"/>
      <c r="X475" s="254"/>
      <c r="Y475" s="154"/>
      <c r="Z475" s="6"/>
      <c r="AA475" s="6"/>
      <c r="AB475" s="6"/>
      <c r="AC475" s="6"/>
      <c r="AD475" s="6"/>
      <c r="AE475" s="75"/>
      <c r="AF475" s="45"/>
    </row>
    <row r="476" spans="2:32" customFormat="1" x14ac:dyDescent="0.25">
      <c r="B476" s="127"/>
      <c r="D476" s="234"/>
      <c r="E476" s="234"/>
      <c r="V476" s="262"/>
      <c r="W476" s="254"/>
      <c r="X476" s="254"/>
      <c r="Y476" s="154"/>
      <c r="Z476" s="6"/>
      <c r="AA476" s="6"/>
      <c r="AB476" s="6"/>
      <c r="AC476" s="6"/>
      <c r="AD476" s="6"/>
      <c r="AE476" s="75"/>
      <c r="AF476" s="45"/>
    </row>
    <row r="477" spans="2:32" customFormat="1" x14ac:dyDescent="0.25">
      <c r="B477" s="127"/>
      <c r="D477" s="234"/>
      <c r="E477" s="234"/>
      <c r="V477" s="262"/>
      <c r="W477" s="254"/>
      <c r="X477" s="254"/>
      <c r="Y477" s="154"/>
      <c r="Z477" s="6"/>
      <c r="AA477" s="6"/>
      <c r="AB477" s="6"/>
      <c r="AC477" s="6"/>
      <c r="AD477" s="6"/>
      <c r="AE477" s="75"/>
      <c r="AF477" s="45"/>
    </row>
    <row r="478" spans="2:32" customFormat="1" x14ac:dyDescent="0.25">
      <c r="B478" s="127"/>
      <c r="D478" s="234"/>
      <c r="E478" s="234"/>
      <c r="V478" s="262"/>
      <c r="W478" s="254"/>
      <c r="X478" s="254"/>
      <c r="Y478" s="154"/>
      <c r="Z478" s="6"/>
      <c r="AA478" s="6"/>
      <c r="AB478" s="6"/>
      <c r="AC478" s="6"/>
      <c r="AD478" s="6"/>
      <c r="AE478" s="75"/>
      <c r="AF478" s="45"/>
    </row>
    <row r="479" spans="2:32" customFormat="1" x14ac:dyDescent="0.25">
      <c r="B479" s="127"/>
      <c r="D479" s="234"/>
      <c r="E479" s="234"/>
      <c r="V479" s="262"/>
      <c r="W479" s="254"/>
      <c r="X479" s="254"/>
      <c r="Y479" s="154"/>
      <c r="Z479" s="6"/>
      <c r="AA479" s="6"/>
      <c r="AB479" s="6"/>
      <c r="AC479" s="6"/>
      <c r="AD479" s="6"/>
      <c r="AE479" s="75"/>
      <c r="AF479" s="45"/>
    </row>
    <row r="480" spans="2:32" customFormat="1" x14ac:dyDescent="0.25">
      <c r="B480" s="127"/>
      <c r="D480" s="234"/>
      <c r="E480" s="234"/>
      <c r="V480" s="262"/>
      <c r="W480" s="254"/>
      <c r="X480" s="254"/>
      <c r="Y480" s="154"/>
      <c r="Z480" s="6"/>
      <c r="AA480" s="6"/>
      <c r="AB480" s="6"/>
      <c r="AC480" s="6"/>
      <c r="AD480" s="6"/>
      <c r="AE480" s="75"/>
      <c r="AF480" s="45"/>
    </row>
    <row r="481" spans="2:32" customFormat="1" x14ac:dyDescent="0.25">
      <c r="B481" s="127"/>
      <c r="D481" s="234"/>
      <c r="E481" s="234"/>
      <c r="V481" s="262"/>
      <c r="W481" s="254"/>
      <c r="X481" s="254"/>
      <c r="Y481" s="154"/>
      <c r="Z481" s="6"/>
      <c r="AA481" s="6"/>
      <c r="AB481" s="6"/>
      <c r="AC481" s="6"/>
      <c r="AD481" s="6"/>
      <c r="AE481" s="75"/>
      <c r="AF481" s="45"/>
    </row>
    <row r="482" spans="2:32" customFormat="1" x14ac:dyDescent="0.25">
      <c r="B482" s="127"/>
      <c r="D482" s="234"/>
      <c r="E482" s="234"/>
      <c r="V482" s="262"/>
      <c r="W482" s="254"/>
      <c r="X482" s="254"/>
      <c r="Y482" s="154"/>
      <c r="Z482" s="6"/>
      <c r="AA482" s="6"/>
      <c r="AB482" s="6"/>
      <c r="AC482" s="6"/>
      <c r="AD482" s="6"/>
      <c r="AE482" s="75"/>
      <c r="AF482" s="45"/>
    </row>
    <row r="483" spans="2:32" customFormat="1" x14ac:dyDescent="0.25">
      <c r="B483" s="127"/>
      <c r="D483" s="234"/>
      <c r="E483" s="234"/>
      <c r="V483" s="262"/>
      <c r="W483" s="254"/>
      <c r="X483" s="254"/>
      <c r="Y483" s="154"/>
      <c r="Z483" s="6"/>
      <c r="AA483" s="6"/>
      <c r="AB483" s="6"/>
      <c r="AC483" s="6"/>
      <c r="AD483" s="6"/>
      <c r="AE483" s="75"/>
      <c r="AF483" s="45"/>
    </row>
    <row r="484" spans="2:32" customFormat="1" x14ac:dyDescent="0.25">
      <c r="B484" s="127"/>
      <c r="D484" s="234"/>
      <c r="E484" s="234"/>
      <c r="V484" s="262"/>
      <c r="W484" s="254"/>
      <c r="X484" s="254"/>
      <c r="Y484" s="154"/>
      <c r="Z484" s="6"/>
      <c r="AA484" s="6"/>
      <c r="AB484" s="6"/>
      <c r="AC484" s="6"/>
      <c r="AD484" s="6"/>
      <c r="AE484" s="75"/>
      <c r="AF484" s="45"/>
    </row>
    <row r="485" spans="2:32" customFormat="1" x14ac:dyDescent="0.25">
      <c r="B485" s="127"/>
      <c r="D485" s="234"/>
      <c r="E485" s="234"/>
      <c r="V485" s="262"/>
      <c r="W485" s="254"/>
      <c r="X485" s="254"/>
      <c r="Y485" s="154"/>
      <c r="Z485" s="6"/>
      <c r="AA485" s="6"/>
      <c r="AB485" s="6"/>
      <c r="AC485" s="6"/>
      <c r="AD485" s="6"/>
      <c r="AE485" s="75"/>
      <c r="AF485" s="45"/>
    </row>
    <row r="486" spans="2:32" customFormat="1" x14ac:dyDescent="0.25">
      <c r="B486" s="127"/>
      <c r="D486" s="234"/>
      <c r="E486" s="234"/>
      <c r="V486" s="262"/>
      <c r="W486" s="254"/>
      <c r="X486" s="254"/>
      <c r="Y486" s="154"/>
      <c r="Z486" s="6"/>
      <c r="AA486" s="6"/>
      <c r="AB486" s="6"/>
      <c r="AC486" s="6"/>
      <c r="AD486" s="6"/>
      <c r="AE486" s="75"/>
      <c r="AF486" s="45"/>
    </row>
    <row r="487" spans="2:32" customFormat="1" x14ac:dyDescent="0.25">
      <c r="B487" s="127"/>
      <c r="D487" s="234"/>
      <c r="E487" s="234"/>
      <c r="V487" s="262"/>
      <c r="W487" s="254"/>
      <c r="X487" s="254"/>
      <c r="Y487" s="154"/>
      <c r="Z487" s="6"/>
      <c r="AA487" s="6"/>
      <c r="AB487" s="6"/>
      <c r="AC487" s="6"/>
      <c r="AD487" s="6"/>
      <c r="AE487" s="75"/>
      <c r="AF487" s="45"/>
    </row>
    <row r="488" spans="2:32" customFormat="1" x14ac:dyDescent="0.25">
      <c r="B488" s="127"/>
      <c r="D488" s="234"/>
      <c r="E488" s="234"/>
      <c r="V488" s="262"/>
      <c r="W488" s="254"/>
      <c r="X488" s="254"/>
      <c r="Y488" s="154"/>
      <c r="Z488" s="6"/>
      <c r="AA488" s="6"/>
      <c r="AB488" s="6"/>
      <c r="AC488" s="6"/>
      <c r="AD488" s="6"/>
      <c r="AE488" s="75"/>
      <c r="AF488" s="45"/>
    </row>
    <row r="489" spans="2:32" customFormat="1" x14ac:dyDescent="0.25">
      <c r="B489" s="127"/>
      <c r="D489" s="234"/>
      <c r="E489" s="234"/>
      <c r="V489" s="262"/>
      <c r="W489" s="254"/>
      <c r="X489" s="254"/>
      <c r="Y489" s="154"/>
      <c r="Z489" s="6"/>
      <c r="AA489" s="6"/>
      <c r="AB489" s="6"/>
      <c r="AC489" s="6"/>
      <c r="AD489" s="6"/>
      <c r="AE489" s="75"/>
      <c r="AF489" s="45"/>
    </row>
    <row r="490" spans="2:32" customFormat="1" x14ac:dyDescent="0.25">
      <c r="B490" s="127"/>
      <c r="D490" s="234"/>
      <c r="E490" s="234"/>
      <c r="V490" s="262"/>
      <c r="W490" s="254"/>
      <c r="X490" s="254"/>
      <c r="Y490" s="154"/>
      <c r="Z490" s="6"/>
      <c r="AA490" s="6"/>
      <c r="AB490" s="6"/>
      <c r="AC490" s="6"/>
      <c r="AD490" s="6"/>
      <c r="AE490" s="75"/>
      <c r="AF490" s="45"/>
    </row>
    <row r="491" spans="2:32" customFormat="1" x14ac:dyDescent="0.25">
      <c r="B491" s="127"/>
      <c r="D491" s="234"/>
      <c r="E491" s="234"/>
      <c r="V491" s="262"/>
      <c r="W491" s="254"/>
      <c r="X491" s="254"/>
      <c r="Y491" s="154"/>
      <c r="Z491" s="6"/>
      <c r="AA491" s="6"/>
      <c r="AB491" s="6"/>
      <c r="AC491" s="6"/>
      <c r="AD491" s="6"/>
      <c r="AE491" s="75"/>
      <c r="AF491" s="45"/>
    </row>
    <row r="492" spans="2:32" customFormat="1" x14ac:dyDescent="0.25">
      <c r="B492" s="127"/>
      <c r="D492" s="234"/>
      <c r="E492" s="234"/>
      <c r="V492" s="262"/>
      <c r="W492" s="254"/>
      <c r="X492" s="254"/>
      <c r="Y492" s="154"/>
      <c r="Z492" s="6"/>
      <c r="AA492" s="6"/>
      <c r="AB492" s="6"/>
      <c r="AC492" s="6"/>
      <c r="AD492" s="6"/>
      <c r="AE492" s="75"/>
      <c r="AF492" s="45"/>
    </row>
    <row r="493" spans="2:32" customFormat="1" x14ac:dyDescent="0.25">
      <c r="B493" s="127"/>
      <c r="D493" s="234"/>
      <c r="E493" s="234"/>
      <c r="V493" s="262"/>
      <c r="W493" s="254"/>
      <c r="X493" s="254"/>
      <c r="Y493" s="154"/>
      <c r="Z493" s="6"/>
      <c r="AA493" s="6"/>
      <c r="AB493" s="6"/>
      <c r="AC493" s="6"/>
      <c r="AD493" s="6"/>
      <c r="AE493" s="75"/>
      <c r="AF493" s="45"/>
    </row>
    <row r="494" spans="2:32" customFormat="1" x14ac:dyDescent="0.25">
      <c r="B494" s="127"/>
      <c r="D494" s="234"/>
      <c r="E494" s="234"/>
      <c r="V494" s="262"/>
      <c r="W494" s="254"/>
      <c r="X494" s="254"/>
      <c r="Y494" s="154"/>
      <c r="Z494" s="6"/>
      <c r="AA494" s="6"/>
      <c r="AB494" s="6"/>
      <c r="AC494" s="6"/>
      <c r="AD494" s="6"/>
      <c r="AE494" s="75"/>
      <c r="AF494" s="45"/>
    </row>
    <row r="495" spans="2:32" customFormat="1" x14ac:dyDescent="0.25">
      <c r="B495" s="127"/>
      <c r="D495" s="234"/>
      <c r="E495" s="234"/>
      <c r="V495" s="262"/>
      <c r="W495" s="254"/>
      <c r="X495" s="254"/>
      <c r="Y495" s="154"/>
      <c r="Z495" s="6"/>
      <c r="AA495" s="6"/>
      <c r="AB495" s="6"/>
      <c r="AC495" s="6"/>
      <c r="AD495" s="6"/>
      <c r="AE495" s="75"/>
      <c r="AF495" s="45"/>
    </row>
    <row r="496" spans="2:32" customFormat="1" x14ac:dyDescent="0.25">
      <c r="B496" s="127"/>
      <c r="D496" s="234"/>
      <c r="E496" s="234"/>
      <c r="V496" s="262"/>
      <c r="W496" s="254"/>
      <c r="X496" s="254"/>
      <c r="Y496" s="154"/>
      <c r="Z496" s="6"/>
      <c r="AA496" s="6"/>
      <c r="AB496" s="6"/>
      <c r="AC496" s="6"/>
      <c r="AD496" s="6"/>
      <c r="AE496" s="75"/>
      <c r="AF496" s="45"/>
    </row>
    <row r="497" spans="2:32" customFormat="1" x14ac:dyDescent="0.25">
      <c r="B497" s="127"/>
      <c r="D497" s="234"/>
      <c r="E497" s="234"/>
      <c r="V497" s="262"/>
      <c r="W497" s="254"/>
      <c r="X497" s="254"/>
      <c r="Y497" s="154"/>
      <c r="Z497" s="6"/>
      <c r="AA497" s="6"/>
      <c r="AB497" s="6"/>
      <c r="AC497" s="6"/>
      <c r="AD497" s="6"/>
      <c r="AE497" s="75"/>
      <c r="AF497" s="45"/>
    </row>
    <row r="498" spans="2:32" customFormat="1" x14ac:dyDescent="0.25">
      <c r="B498" s="127"/>
      <c r="D498" s="234"/>
      <c r="E498" s="234"/>
      <c r="V498" s="262"/>
      <c r="W498" s="254"/>
      <c r="X498" s="254"/>
      <c r="Y498" s="154"/>
      <c r="Z498" s="6"/>
      <c r="AA498" s="6"/>
      <c r="AB498" s="6"/>
      <c r="AC498" s="6"/>
      <c r="AD498" s="6"/>
      <c r="AE498" s="75"/>
      <c r="AF498" s="45"/>
    </row>
    <row r="499" spans="2:32" customFormat="1" x14ac:dyDescent="0.25">
      <c r="B499" s="127"/>
      <c r="D499" s="234"/>
      <c r="E499" s="234"/>
      <c r="V499" s="262"/>
      <c r="W499" s="254"/>
      <c r="X499" s="254"/>
      <c r="Y499" s="154"/>
      <c r="Z499" s="6"/>
      <c r="AA499" s="6"/>
      <c r="AB499" s="6"/>
      <c r="AC499" s="6"/>
      <c r="AD499" s="6"/>
      <c r="AE499" s="75"/>
      <c r="AF499" s="45"/>
    </row>
    <row r="500" spans="2:32" customFormat="1" x14ac:dyDescent="0.25">
      <c r="B500" s="127"/>
      <c r="D500" s="234"/>
      <c r="E500" s="234"/>
      <c r="V500" s="262"/>
      <c r="W500" s="254"/>
      <c r="X500" s="254"/>
      <c r="Y500" s="154"/>
      <c r="Z500" s="6"/>
      <c r="AA500" s="6"/>
      <c r="AB500" s="6"/>
      <c r="AC500" s="6"/>
      <c r="AD500" s="6"/>
      <c r="AE500" s="75"/>
      <c r="AF500" s="45"/>
    </row>
    <row r="501" spans="2:32" customFormat="1" x14ac:dyDescent="0.25">
      <c r="B501" s="127"/>
      <c r="D501" s="234"/>
      <c r="E501" s="234"/>
      <c r="V501" s="262"/>
      <c r="W501" s="254"/>
      <c r="X501" s="254"/>
      <c r="Y501" s="154"/>
      <c r="Z501" s="6"/>
      <c r="AA501" s="6"/>
      <c r="AB501" s="6"/>
      <c r="AC501" s="6"/>
      <c r="AD501" s="6"/>
      <c r="AE501" s="75"/>
      <c r="AF501" s="45"/>
    </row>
    <row r="502" spans="2:32" customFormat="1" x14ac:dyDescent="0.25">
      <c r="B502" s="127"/>
      <c r="D502" s="234"/>
      <c r="E502" s="234"/>
      <c r="V502" s="262"/>
      <c r="W502" s="254"/>
      <c r="X502" s="254"/>
      <c r="Y502" s="154"/>
      <c r="Z502" s="6"/>
      <c r="AA502" s="6"/>
      <c r="AB502" s="6"/>
      <c r="AC502" s="6"/>
      <c r="AD502" s="6"/>
      <c r="AE502" s="75"/>
      <c r="AF502" s="45"/>
    </row>
    <row r="503" spans="2:32" customFormat="1" x14ac:dyDescent="0.25">
      <c r="B503" s="127"/>
      <c r="D503" s="234"/>
      <c r="E503" s="234"/>
      <c r="V503" s="262"/>
      <c r="W503" s="254"/>
      <c r="X503" s="254"/>
      <c r="Y503" s="154"/>
      <c r="Z503" s="6"/>
      <c r="AA503" s="6"/>
      <c r="AB503" s="6"/>
      <c r="AC503" s="6"/>
      <c r="AD503" s="6"/>
      <c r="AE503" s="75"/>
      <c r="AF503" s="45"/>
    </row>
    <row r="504" spans="2:32" customFormat="1" x14ac:dyDescent="0.25">
      <c r="B504" s="127"/>
      <c r="D504" s="234"/>
      <c r="E504" s="234"/>
      <c r="V504" s="262"/>
      <c r="W504" s="254"/>
      <c r="X504" s="254"/>
      <c r="Y504" s="154"/>
      <c r="Z504" s="6"/>
      <c r="AA504" s="6"/>
      <c r="AB504" s="6"/>
      <c r="AC504" s="6"/>
      <c r="AD504" s="6"/>
      <c r="AE504" s="75"/>
      <c r="AF504" s="45"/>
    </row>
    <row r="505" spans="2:32" customFormat="1" x14ac:dyDescent="0.25">
      <c r="B505" s="127"/>
      <c r="D505" s="234"/>
      <c r="E505" s="234"/>
      <c r="V505" s="262"/>
      <c r="W505" s="254"/>
      <c r="X505" s="254"/>
      <c r="Y505" s="154"/>
      <c r="Z505" s="6"/>
      <c r="AA505" s="6"/>
      <c r="AB505" s="6"/>
      <c r="AC505" s="6"/>
      <c r="AD505" s="6"/>
      <c r="AE505" s="75"/>
      <c r="AF505" s="45"/>
    </row>
    <row r="506" spans="2:32" customFormat="1" x14ac:dyDescent="0.25">
      <c r="B506" s="127"/>
      <c r="D506" s="234"/>
      <c r="E506" s="234"/>
      <c r="V506" s="262"/>
      <c r="W506" s="254"/>
      <c r="X506" s="254"/>
      <c r="Y506" s="154"/>
      <c r="Z506" s="6"/>
      <c r="AA506" s="6"/>
      <c r="AB506" s="6"/>
      <c r="AC506" s="6"/>
      <c r="AD506" s="6"/>
      <c r="AE506" s="75"/>
      <c r="AF506" s="45"/>
    </row>
    <row r="507" spans="2:32" customFormat="1" x14ac:dyDescent="0.25">
      <c r="B507" s="127"/>
      <c r="D507" s="234"/>
      <c r="E507" s="234"/>
      <c r="V507" s="262"/>
      <c r="W507" s="254"/>
      <c r="X507" s="254"/>
      <c r="Y507" s="154"/>
      <c r="Z507" s="6"/>
      <c r="AA507" s="6"/>
      <c r="AB507" s="6"/>
      <c r="AC507" s="6"/>
      <c r="AD507" s="6"/>
      <c r="AE507" s="75"/>
      <c r="AF507" s="45"/>
    </row>
    <row r="508" spans="2:32" customFormat="1" x14ac:dyDescent="0.25">
      <c r="B508" s="127"/>
      <c r="D508" s="234"/>
      <c r="E508" s="234"/>
      <c r="V508" s="262"/>
      <c r="W508" s="254"/>
      <c r="X508" s="254"/>
      <c r="Y508" s="154"/>
      <c r="Z508" s="6"/>
      <c r="AA508" s="6"/>
      <c r="AB508" s="6"/>
      <c r="AC508" s="6"/>
      <c r="AD508" s="6"/>
      <c r="AE508" s="75"/>
      <c r="AF508" s="45"/>
    </row>
    <row r="509" spans="2:32" customFormat="1" x14ac:dyDescent="0.25">
      <c r="B509" s="127"/>
      <c r="D509" s="234"/>
      <c r="E509" s="234"/>
      <c r="V509" s="262"/>
      <c r="W509" s="254"/>
      <c r="X509" s="254"/>
      <c r="Y509" s="154"/>
      <c r="Z509" s="6"/>
      <c r="AA509" s="6"/>
      <c r="AB509" s="6"/>
      <c r="AC509" s="6"/>
      <c r="AD509" s="6"/>
      <c r="AE509" s="75"/>
      <c r="AF509" s="45"/>
    </row>
    <row r="510" spans="2:32" customFormat="1" x14ac:dyDescent="0.25">
      <c r="B510" s="127"/>
      <c r="D510" s="234"/>
      <c r="E510" s="234"/>
      <c r="V510" s="262"/>
      <c r="W510" s="254"/>
      <c r="X510" s="254"/>
      <c r="Y510" s="154"/>
      <c r="Z510" s="6"/>
      <c r="AA510" s="6"/>
      <c r="AB510" s="6"/>
      <c r="AC510" s="6"/>
      <c r="AD510" s="6"/>
      <c r="AE510" s="75"/>
      <c r="AF510" s="45"/>
    </row>
    <row r="511" spans="2:32" customFormat="1" x14ac:dyDescent="0.25">
      <c r="B511" s="127"/>
      <c r="D511" s="234"/>
      <c r="E511" s="234"/>
      <c r="V511" s="262"/>
      <c r="W511" s="254"/>
      <c r="X511" s="254"/>
      <c r="Y511" s="154"/>
      <c r="Z511" s="6"/>
      <c r="AA511" s="6"/>
      <c r="AB511" s="6"/>
      <c r="AC511" s="6"/>
      <c r="AD511" s="6"/>
      <c r="AE511" s="75"/>
      <c r="AF511" s="45"/>
    </row>
    <row r="512" spans="2:32" customFormat="1" x14ac:dyDescent="0.25">
      <c r="B512" s="127"/>
      <c r="D512" s="234"/>
      <c r="E512" s="234"/>
      <c r="V512" s="262"/>
      <c r="W512" s="254"/>
      <c r="X512" s="254"/>
      <c r="Y512" s="154"/>
      <c r="Z512" s="6"/>
      <c r="AA512" s="6"/>
      <c r="AB512" s="6"/>
      <c r="AC512" s="6"/>
      <c r="AD512" s="6"/>
      <c r="AE512" s="75"/>
      <c r="AF512" s="45"/>
    </row>
    <row r="513" spans="2:32" customFormat="1" x14ac:dyDescent="0.25">
      <c r="B513" s="127"/>
      <c r="D513" s="234"/>
      <c r="E513" s="234"/>
      <c r="V513" s="262"/>
      <c r="W513" s="254"/>
      <c r="X513" s="254"/>
      <c r="Y513" s="154"/>
      <c r="Z513" s="6"/>
      <c r="AA513" s="6"/>
      <c r="AB513" s="6"/>
      <c r="AC513" s="6"/>
      <c r="AD513" s="6"/>
      <c r="AE513" s="75"/>
      <c r="AF513" s="45"/>
    </row>
    <row r="514" spans="2:32" customFormat="1" x14ac:dyDescent="0.25">
      <c r="B514" s="127"/>
      <c r="D514" s="234"/>
      <c r="E514" s="234"/>
      <c r="V514" s="262"/>
      <c r="W514" s="254"/>
      <c r="X514" s="254"/>
      <c r="Y514" s="154"/>
      <c r="Z514" s="6"/>
      <c r="AA514" s="6"/>
      <c r="AB514" s="6"/>
      <c r="AC514" s="6"/>
      <c r="AD514" s="6"/>
      <c r="AE514" s="75"/>
      <c r="AF514" s="45"/>
    </row>
    <row r="515" spans="2:32" customFormat="1" x14ac:dyDescent="0.25">
      <c r="B515" s="127"/>
      <c r="D515" s="234"/>
      <c r="E515" s="234"/>
      <c r="V515" s="262"/>
      <c r="W515" s="254"/>
      <c r="X515" s="254"/>
      <c r="Y515" s="154"/>
      <c r="Z515" s="6"/>
      <c r="AA515" s="6"/>
      <c r="AB515" s="6"/>
      <c r="AC515" s="6"/>
      <c r="AD515" s="6"/>
      <c r="AE515" s="75"/>
      <c r="AF515" s="45"/>
    </row>
    <row r="516" spans="2:32" customFormat="1" x14ac:dyDescent="0.25">
      <c r="B516" s="127"/>
      <c r="D516" s="234"/>
      <c r="E516" s="234"/>
      <c r="V516" s="262"/>
      <c r="W516" s="254"/>
      <c r="X516" s="254"/>
      <c r="Y516" s="154"/>
      <c r="Z516" s="6"/>
      <c r="AA516" s="6"/>
      <c r="AB516" s="6"/>
      <c r="AC516" s="6"/>
      <c r="AD516" s="6"/>
      <c r="AE516" s="75"/>
      <c r="AF516" s="45"/>
    </row>
    <row r="517" spans="2:32" customFormat="1" x14ac:dyDescent="0.25">
      <c r="B517" s="127"/>
      <c r="D517" s="234"/>
      <c r="E517" s="234"/>
      <c r="V517" s="262"/>
      <c r="W517" s="254"/>
      <c r="X517" s="254"/>
      <c r="Y517" s="154"/>
      <c r="Z517" s="6"/>
      <c r="AA517" s="6"/>
      <c r="AB517" s="6"/>
      <c r="AC517" s="6"/>
      <c r="AD517" s="6"/>
      <c r="AE517" s="75"/>
      <c r="AF517" s="45"/>
    </row>
    <row r="518" spans="2:32" customFormat="1" x14ac:dyDescent="0.25">
      <c r="B518" s="127"/>
      <c r="D518" s="234"/>
      <c r="E518" s="234"/>
      <c r="V518" s="262"/>
      <c r="W518" s="254"/>
      <c r="X518" s="254"/>
      <c r="Y518" s="154"/>
      <c r="Z518" s="6"/>
      <c r="AA518" s="6"/>
      <c r="AB518" s="6"/>
      <c r="AC518" s="6"/>
      <c r="AD518" s="6"/>
      <c r="AE518" s="75"/>
      <c r="AF518" s="45"/>
    </row>
    <row r="519" spans="2:32" customFormat="1" x14ac:dyDescent="0.25">
      <c r="B519" s="127"/>
      <c r="D519" s="234"/>
      <c r="E519" s="234"/>
      <c r="V519" s="262"/>
      <c r="W519" s="254"/>
      <c r="X519" s="254"/>
      <c r="Y519" s="154"/>
      <c r="Z519" s="6"/>
      <c r="AA519" s="6"/>
      <c r="AB519" s="6"/>
      <c r="AC519" s="6"/>
      <c r="AD519" s="6"/>
      <c r="AE519" s="75"/>
      <c r="AF519" s="45"/>
    </row>
    <row r="520" spans="2:32" customFormat="1" x14ac:dyDescent="0.25">
      <c r="B520" s="127"/>
      <c r="D520" s="234"/>
      <c r="E520" s="234"/>
      <c r="V520" s="262"/>
      <c r="W520" s="254"/>
      <c r="X520" s="254"/>
      <c r="Y520" s="154"/>
      <c r="Z520" s="6"/>
      <c r="AA520" s="6"/>
      <c r="AB520" s="6"/>
      <c r="AC520" s="6"/>
      <c r="AD520" s="6"/>
      <c r="AE520" s="75"/>
      <c r="AF520" s="45"/>
    </row>
    <row r="521" spans="2:32" customFormat="1" x14ac:dyDescent="0.25">
      <c r="B521" s="127"/>
      <c r="D521" s="234"/>
      <c r="E521" s="234"/>
      <c r="V521" s="262"/>
      <c r="W521" s="254"/>
      <c r="X521" s="254"/>
      <c r="Y521" s="154"/>
      <c r="Z521" s="6"/>
      <c r="AA521" s="6"/>
      <c r="AB521" s="6"/>
      <c r="AC521" s="6"/>
      <c r="AD521" s="6"/>
      <c r="AE521" s="75"/>
      <c r="AF521" s="45"/>
    </row>
    <row r="522" spans="2:32" customFormat="1" x14ac:dyDescent="0.25">
      <c r="B522" s="127"/>
      <c r="D522" s="234"/>
      <c r="E522" s="234"/>
      <c r="V522" s="262"/>
      <c r="W522" s="254"/>
      <c r="X522" s="254"/>
      <c r="Y522" s="154"/>
      <c r="Z522" s="6"/>
      <c r="AA522" s="6"/>
      <c r="AB522" s="6"/>
      <c r="AC522" s="6"/>
      <c r="AD522" s="6"/>
      <c r="AE522" s="75"/>
      <c r="AF522" s="45"/>
    </row>
    <row r="523" spans="2:32" customFormat="1" x14ac:dyDescent="0.25">
      <c r="B523" s="127"/>
      <c r="D523" s="234"/>
      <c r="E523" s="234"/>
      <c r="V523" s="262"/>
      <c r="W523" s="254"/>
      <c r="X523" s="254"/>
      <c r="Y523" s="154"/>
      <c r="Z523" s="6"/>
      <c r="AA523" s="6"/>
      <c r="AB523" s="6"/>
      <c r="AC523" s="6"/>
      <c r="AD523" s="6"/>
      <c r="AE523" s="75"/>
      <c r="AF523" s="45"/>
    </row>
    <row r="524" spans="2:32" customFormat="1" x14ac:dyDescent="0.25">
      <c r="B524" s="127"/>
      <c r="D524" s="234"/>
      <c r="E524" s="234"/>
      <c r="V524" s="262"/>
      <c r="W524" s="254"/>
      <c r="X524" s="254"/>
      <c r="Y524" s="154"/>
      <c r="Z524" s="6"/>
      <c r="AA524" s="6"/>
      <c r="AB524" s="6"/>
      <c r="AC524" s="6"/>
      <c r="AD524" s="6"/>
      <c r="AE524" s="75"/>
      <c r="AF524" s="45"/>
    </row>
    <row r="525" spans="2:32" customFormat="1" x14ac:dyDescent="0.25">
      <c r="B525" s="127"/>
      <c r="D525" s="234"/>
      <c r="E525" s="234"/>
      <c r="V525" s="262"/>
      <c r="W525" s="254"/>
      <c r="X525" s="254"/>
      <c r="Y525" s="154"/>
      <c r="Z525" s="6"/>
      <c r="AA525" s="6"/>
      <c r="AB525" s="6"/>
      <c r="AC525" s="6"/>
      <c r="AD525" s="6"/>
      <c r="AE525" s="75"/>
      <c r="AF525" s="45"/>
    </row>
    <row r="526" spans="2:32" customFormat="1" x14ac:dyDescent="0.25">
      <c r="B526" s="127"/>
      <c r="D526" s="234"/>
      <c r="E526" s="234"/>
      <c r="V526" s="262"/>
      <c r="W526" s="254"/>
      <c r="X526" s="254"/>
      <c r="Y526" s="154"/>
      <c r="Z526" s="6"/>
      <c r="AA526" s="6"/>
      <c r="AB526" s="6"/>
      <c r="AC526" s="6"/>
      <c r="AD526" s="6"/>
      <c r="AE526" s="75"/>
      <c r="AF526" s="45"/>
    </row>
    <row r="527" spans="2:32" customFormat="1" x14ac:dyDescent="0.25">
      <c r="B527" s="127"/>
      <c r="D527" s="234"/>
      <c r="E527" s="234"/>
      <c r="V527" s="262"/>
      <c r="W527" s="254"/>
      <c r="X527" s="254"/>
      <c r="Y527" s="154"/>
      <c r="Z527" s="6"/>
      <c r="AA527" s="6"/>
      <c r="AB527" s="6"/>
      <c r="AC527" s="6"/>
      <c r="AD527" s="6"/>
      <c r="AE527" s="75"/>
      <c r="AF527" s="45"/>
    </row>
    <row r="528" spans="2:32" customFormat="1" x14ac:dyDescent="0.25">
      <c r="B528" s="127"/>
      <c r="D528" s="234"/>
      <c r="E528" s="234"/>
      <c r="V528" s="262"/>
      <c r="W528" s="254"/>
      <c r="X528" s="254"/>
      <c r="Y528" s="154"/>
      <c r="Z528" s="6"/>
      <c r="AA528" s="6"/>
      <c r="AB528" s="6"/>
      <c r="AC528" s="6"/>
      <c r="AD528" s="6"/>
      <c r="AE528" s="75"/>
      <c r="AF528" s="45"/>
    </row>
    <row r="529" spans="2:32" customFormat="1" x14ac:dyDescent="0.25">
      <c r="B529" s="127"/>
      <c r="D529" s="234"/>
      <c r="E529" s="234"/>
      <c r="V529" s="262"/>
      <c r="W529" s="254"/>
      <c r="X529" s="254"/>
      <c r="Y529" s="154"/>
      <c r="Z529" s="6"/>
      <c r="AA529" s="6"/>
      <c r="AB529" s="6"/>
      <c r="AC529" s="6"/>
      <c r="AD529" s="6"/>
      <c r="AE529" s="75"/>
      <c r="AF529" s="45"/>
    </row>
    <row r="530" spans="2:32" customFormat="1" x14ac:dyDescent="0.25">
      <c r="B530" s="127"/>
      <c r="D530" s="234"/>
      <c r="E530" s="234"/>
      <c r="V530" s="262"/>
      <c r="W530" s="254"/>
      <c r="X530" s="254"/>
      <c r="Y530" s="154"/>
      <c r="Z530" s="6"/>
      <c r="AA530" s="6"/>
      <c r="AB530" s="6"/>
      <c r="AC530" s="6"/>
      <c r="AD530" s="6"/>
      <c r="AE530" s="75"/>
      <c r="AF530" s="45"/>
    </row>
    <row r="531" spans="2:32" customFormat="1" x14ac:dyDescent="0.25">
      <c r="B531" s="127"/>
      <c r="D531" s="234"/>
      <c r="E531" s="234"/>
      <c r="V531" s="262"/>
      <c r="W531" s="254"/>
      <c r="X531" s="254"/>
      <c r="Y531" s="154"/>
      <c r="Z531" s="6"/>
      <c r="AA531" s="6"/>
      <c r="AB531" s="6"/>
      <c r="AC531" s="6"/>
      <c r="AD531" s="6"/>
      <c r="AE531" s="75"/>
      <c r="AF531" s="45"/>
    </row>
    <row r="532" spans="2:32" customFormat="1" x14ac:dyDescent="0.25">
      <c r="B532" s="127"/>
      <c r="D532" s="234"/>
      <c r="E532" s="234"/>
      <c r="V532" s="262"/>
      <c r="W532" s="254"/>
      <c r="X532" s="254"/>
      <c r="Y532" s="154"/>
      <c r="Z532" s="6"/>
      <c r="AA532" s="6"/>
      <c r="AB532" s="6"/>
      <c r="AC532" s="6"/>
      <c r="AD532" s="6"/>
      <c r="AE532" s="75"/>
      <c r="AF532" s="45"/>
    </row>
    <row r="533" spans="2:32" customFormat="1" x14ac:dyDescent="0.25">
      <c r="B533" s="127"/>
      <c r="D533" s="234"/>
      <c r="E533" s="234"/>
      <c r="V533" s="262"/>
      <c r="W533" s="254"/>
      <c r="X533" s="254"/>
      <c r="Y533" s="154"/>
      <c r="Z533" s="6"/>
      <c r="AA533" s="6"/>
      <c r="AB533" s="6"/>
      <c r="AC533" s="6"/>
      <c r="AD533" s="6"/>
      <c r="AE533" s="75"/>
      <c r="AF533" s="45"/>
    </row>
    <row r="534" spans="2:32" customFormat="1" x14ac:dyDescent="0.25">
      <c r="B534" s="127"/>
      <c r="D534" s="234"/>
      <c r="E534" s="234"/>
      <c r="V534" s="262"/>
      <c r="W534" s="254"/>
      <c r="X534" s="254"/>
      <c r="Y534" s="154"/>
      <c r="Z534" s="6"/>
      <c r="AA534" s="6"/>
      <c r="AB534" s="6"/>
      <c r="AC534" s="6"/>
      <c r="AD534" s="6"/>
      <c r="AE534" s="75"/>
      <c r="AF534" s="45"/>
    </row>
    <row r="535" spans="2:32" customFormat="1" x14ac:dyDescent="0.25">
      <c r="B535" s="127"/>
      <c r="D535" s="234"/>
      <c r="E535" s="234"/>
      <c r="V535" s="262"/>
      <c r="W535" s="254"/>
      <c r="X535" s="254"/>
      <c r="Y535" s="154"/>
      <c r="Z535" s="6"/>
      <c r="AA535" s="6"/>
      <c r="AB535" s="6"/>
      <c r="AC535" s="6"/>
      <c r="AD535" s="6"/>
      <c r="AE535" s="75"/>
      <c r="AF535" s="45"/>
    </row>
    <row r="536" spans="2:32" customFormat="1" x14ac:dyDescent="0.25">
      <c r="B536" s="127"/>
      <c r="D536" s="234"/>
      <c r="E536" s="234"/>
      <c r="V536" s="262"/>
      <c r="W536" s="254"/>
      <c r="X536" s="254"/>
      <c r="Y536" s="154"/>
      <c r="Z536" s="6"/>
      <c r="AA536" s="6"/>
      <c r="AB536" s="6"/>
      <c r="AC536" s="6"/>
      <c r="AD536" s="6"/>
      <c r="AE536" s="75"/>
      <c r="AF536" s="45"/>
    </row>
    <row r="537" spans="2:32" customFormat="1" x14ac:dyDescent="0.25">
      <c r="B537" s="127"/>
      <c r="D537" s="234"/>
      <c r="E537" s="234"/>
      <c r="V537" s="262"/>
      <c r="W537" s="254"/>
      <c r="X537" s="254"/>
      <c r="Y537" s="154"/>
      <c r="Z537" s="6"/>
      <c r="AA537" s="6"/>
      <c r="AB537" s="6"/>
      <c r="AC537" s="6"/>
      <c r="AD537" s="6"/>
      <c r="AE537" s="75"/>
      <c r="AF537" s="45"/>
    </row>
    <row r="538" spans="2:32" customFormat="1" x14ac:dyDescent="0.25">
      <c r="B538" s="127"/>
      <c r="D538" s="234"/>
      <c r="E538" s="234"/>
      <c r="V538" s="262"/>
      <c r="W538" s="254"/>
      <c r="X538" s="254"/>
      <c r="Y538" s="154"/>
      <c r="Z538" s="6"/>
      <c r="AA538" s="6"/>
      <c r="AB538" s="6"/>
      <c r="AC538" s="6"/>
      <c r="AD538" s="6"/>
      <c r="AE538" s="75"/>
      <c r="AF538" s="45"/>
    </row>
    <row r="539" spans="2:32" customFormat="1" x14ac:dyDescent="0.25">
      <c r="B539" s="127"/>
      <c r="D539" s="234"/>
      <c r="E539" s="234"/>
      <c r="V539" s="262"/>
      <c r="W539" s="254"/>
      <c r="X539" s="254"/>
      <c r="Y539" s="154"/>
      <c r="Z539" s="6"/>
      <c r="AA539" s="6"/>
      <c r="AB539" s="6"/>
      <c r="AC539" s="6"/>
      <c r="AD539" s="6"/>
      <c r="AE539" s="75"/>
      <c r="AF539" s="45"/>
    </row>
    <row r="540" spans="2:32" customFormat="1" x14ac:dyDescent="0.25">
      <c r="B540" s="127"/>
      <c r="D540" s="234"/>
      <c r="E540" s="234"/>
      <c r="V540" s="262"/>
      <c r="W540" s="254"/>
      <c r="X540" s="254"/>
      <c r="Y540" s="154"/>
      <c r="Z540" s="6"/>
      <c r="AA540" s="6"/>
      <c r="AB540" s="6"/>
      <c r="AC540" s="6"/>
      <c r="AD540" s="6"/>
      <c r="AE540" s="75"/>
      <c r="AF540" s="45"/>
    </row>
    <row r="541" spans="2:32" customFormat="1" x14ac:dyDescent="0.25">
      <c r="B541" s="127"/>
      <c r="D541" s="234"/>
      <c r="E541" s="234"/>
      <c r="V541" s="262"/>
      <c r="W541" s="254"/>
      <c r="X541" s="254"/>
      <c r="Y541" s="154"/>
      <c r="Z541" s="6"/>
      <c r="AA541" s="6"/>
      <c r="AB541" s="6"/>
      <c r="AC541" s="6"/>
      <c r="AD541" s="6"/>
      <c r="AE541" s="75"/>
      <c r="AF541" s="45"/>
    </row>
    <row r="542" spans="2:32" customFormat="1" x14ac:dyDescent="0.25">
      <c r="B542" s="127"/>
      <c r="D542" s="234"/>
      <c r="E542" s="234"/>
      <c r="V542" s="262"/>
      <c r="W542" s="254"/>
      <c r="X542" s="254"/>
      <c r="Y542" s="154"/>
      <c r="Z542" s="6"/>
      <c r="AA542" s="6"/>
      <c r="AB542" s="6"/>
      <c r="AC542" s="6"/>
      <c r="AD542" s="6"/>
      <c r="AE542" s="75"/>
      <c r="AF542" s="45"/>
    </row>
    <row r="543" spans="2:32" customFormat="1" x14ac:dyDescent="0.25">
      <c r="B543" s="127"/>
      <c r="D543" s="234"/>
      <c r="E543" s="234"/>
      <c r="V543" s="262"/>
      <c r="W543" s="254"/>
      <c r="X543" s="254"/>
      <c r="Y543" s="154"/>
      <c r="Z543" s="6"/>
      <c r="AA543" s="6"/>
      <c r="AB543" s="6"/>
      <c r="AC543" s="6"/>
      <c r="AD543" s="6"/>
      <c r="AE543" s="75"/>
      <c r="AF543" s="45"/>
    </row>
    <row r="544" spans="2:32" customFormat="1" x14ac:dyDescent="0.25">
      <c r="B544" s="127"/>
      <c r="D544" s="234"/>
      <c r="E544" s="234"/>
      <c r="V544" s="262"/>
      <c r="W544" s="254"/>
      <c r="X544" s="254"/>
      <c r="Y544" s="154"/>
      <c r="Z544" s="6"/>
      <c r="AA544" s="6"/>
      <c r="AB544" s="6"/>
      <c r="AC544" s="6"/>
      <c r="AD544" s="6"/>
      <c r="AE544" s="75"/>
      <c r="AF544" s="45"/>
    </row>
    <row r="545" spans="2:32" customFormat="1" x14ac:dyDescent="0.25">
      <c r="B545" s="127"/>
      <c r="D545" s="234"/>
      <c r="E545" s="234"/>
      <c r="V545" s="262"/>
      <c r="W545" s="254"/>
      <c r="X545" s="254"/>
      <c r="Y545" s="154"/>
      <c r="Z545" s="6"/>
      <c r="AA545" s="6"/>
      <c r="AB545" s="6"/>
      <c r="AC545" s="6"/>
      <c r="AD545" s="6"/>
      <c r="AE545" s="75"/>
      <c r="AF545" s="45"/>
    </row>
    <row r="546" spans="2:32" customFormat="1" x14ac:dyDescent="0.25">
      <c r="B546" s="127"/>
      <c r="D546" s="234"/>
      <c r="E546" s="234"/>
      <c r="V546" s="262"/>
      <c r="W546" s="254"/>
      <c r="X546" s="254"/>
      <c r="Y546" s="154"/>
      <c r="Z546" s="6"/>
      <c r="AA546" s="6"/>
      <c r="AB546" s="6"/>
      <c r="AC546" s="6"/>
      <c r="AD546" s="6"/>
      <c r="AE546" s="75"/>
      <c r="AF546" s="45"/>
    </row>
    <row r="547" spans="2:32" customFormat="1" x14ac:dyDescent="0.25">
      <c r="B547" s="127"/>
      <c r="D547" s="234"/>
      <c r="E547" s="234"/>
      <c r="V547" s="262"/>
      <c r="W547" s="254"/>
      <c r="X547" s="254"/>
      <c r="Y547" s="154"/>
      <c r="Z547" s="6"/>
      <c r="AA547" s="6"/>
      <c r="AB547" s="6"/>
      <c r="AC547" s="6"/>
      <c r="AD547" s="6"/>
      <c r="AE547" s="75"/>
      <c r="AF547" s="45"/>
    </row>
    <row r="548" spans="2:32" customFormat="1" x14ac:dyDescent="0.25">
      <c r="B548" s="127"/>
      <c r="D548" s="234"/>
      <c r="E548" s="234"/>
      <c r="V548" s="262"/>
      <c r="W548" s="254"/>
      <c r="X548" s="254"/>
      <c r="Y548" s="154"/>
      <c r="Z548" s="6"/>
      <c r="AA548" s="6"/>
      <c r="AB548" s="6"/>
      <c r="AC548" s="6"/>
      <c r="AD548" s="6"/>
      <c r="AE548" s="75"/>
      <c r="AF548" s="45"/>
    </row>
    <row r="549" spans="2:32" customFormat="1" x14ac:dyDescent="0.25">
      <c r="B549" s="127"/>
      <c r="D549" s="234"/>
      <c r="E549" s="234"/>
      <c r="V549" s="262"/>
      <c r="W549" s="254"/>
      <c r="X549" s="254"/>
      <c r="Y549" s="154"/>
      <c r="Z549" s="6"/>
      <c r="AA549" s="6"/>
      <c r="AB549" s="6"/>
      <c r="AC549" s="6"/>
      <c r="AD549" s="6"/>
      <c r="AE549" s="75"/>
      <c r="AF549" s="45"/>
    </row>
    <row r="550" spans="2:32" customFormat="1" x14ac:dyDescent="0.25">
      <c r="B550" s="127"/>
      <c r="D550" s="234"/>
      <c r="E550" s="234"/>
      <c r="V550" s="262"/>
      <c r="W550" s="254"/>
      <c r="X550" s="254"/>
      <c r="Y550" s="154"/>
      <c r="Z550" s="6"/>
      <c r="AA550" s="6"/>
      <c r="AB550" s="6"/>
      <c r="AC550" s="6"/>
      <c r="AD550" s="6"/>
      <c r="AE550" s="75"/>
      <c r="AF550" s="45"/>
    </row>
    <row r="551" spans="2:32" customFormat="1" x14ac:dyDescent="0.25">
      <c r="B551" s="127"/>
      <c r="D551" s="234"/>
      <c r="E551" s="234"/>
      <c r="V551" s="262"/>
      <c r="W551" s="254"/>
      <c r="X551" s="254"/>
      <c r="Y551" s="154"/>
      <c r="Z551" s="6"/>
      <c r="AA551" s="6"/>
      <c r="AB551" s="6"/>
      <c r="AC551" s="6"/>
      <c r="AD551" s="6"/>
      <c r="AE551" s="75"/>
      <c r="AF551" s="45"/>
    </row>
    <row r="552" spans="2:32" customFormat="1" x14ac:dyDescent="0.25">
      <c r="B552" s="127"/>
      <c r="D552" s="234"/>
      <c r="E552" s="234"/>
      <c r="V552" s="262"/>
      <c r="W552" s="254"/>
      <c r="X552" s="254"/>
      <c r="Y552" s="154"/>
      <c r="Z552" s="6"/>
      <c r="AA552" s="6"/>
      <c r="AB552" s="6"/>
      <c r="AC552" s="6"/>
      <c r="AD552" s="6"/>
      <c r="AE552" s="75"/>
      <c r="AF552" s="45"/>
    </row>
    <row r="553" spans="2:32" customFormat="1" x14ac:dyDescent="0.25">
      <c r="B553" s="127"/>
      <c r="D553" s="234"/>
      <c r="E553" s="234"/>
      <c r="V553" s="262"/>
      <c r="W553" s="254"/>
      <c r="X553" s="254"/>
      <c r="Y553" s="154"/>
      <c r="Z553" s="6"/>
      <c r="AA553" s="6"/>
      <c r="AB553" s="6"/>
      <c r="AC553" s="6"/>
      <c r="AD553" s="6"/>
      <c r="AE553" s="75"/>
      <c r="AF553" s="45"/>
    </row>
    <row r="554" spans="2:32" customFormat="1" x14ac:dyDescent="0.25">
      <c r="B554" s="127"/>
      <c r="D554" s="234"/>
      <c r="E554" s="234"/>
      <c r="V554" s="262"/>
      <c r="W554" s="254"/>
      <c r="X554" s="254"/>
      <c r="Y554" s="154"/>
      <c r="Z554" s="6"/>
      <c r="AA554" s="6"/>
      <c r="AB554" s="6"/>
      <c r="AC554" s="6"/>
      <c r="AD554" s="6"/>
      <c r="AE554" s="75"/>
      <c r="AF554" s="45"/>
    </row>
    <row r="555" spans="2:32" customFormat="1" x14ac:dyDescent="0.25">
      <c r="B555" s="127"/>
      <c r="D555" s="234"/>
      <c r="E555" s="234"/>
      <c r="V555" s="262"/>
      <c r="W555" s="254"/>
      <c r="X555" s="254"/>
      <c r="Y555" s="154"/>
      <c r="Z555" s="6"/>
      <c r="AA555" s="6"/>
      <c r="AB555" s="6"/>
      <c r="AC555" s="6"/>
      <c r="AD555" s="6"/>
      <c r="AE555" s="75"/>
      <c r="AF555" s="45"/>
    </row>
    <row r="556" spans="2:32" customFormat="1" x14ac:dyDescent="0.25">
      <c r="B556" s="127"/>
      <c r="D556" s="234"/>
      <c r="E556" s="234"/>
      <c r="V556" s="262"/>
      <c r="W556" s="254"/>
      <c r="X556" s="254"/>
      <c r="Y556" s="154"/>
      <c r="Z556" s="6"/>
      <c r="AA556" s="6"/>
      <c r="AB556" s="6"/>
      <c r="AC556" s="6"/>
      <c r="AD556" s="6"/>
      <c r="AE556" s="75"/>
      <c r="AF556" s="45"/>
    </row>
    <row r="557" spans="2:32" customFormat="1" x14ac:dyDescent="0.25">
      <c r="B557" s="127"/>
      <c r="D557" s="234"/>
      <c r="E557" s="234"/>
      <c r="V557" s="262"/>
      <c r="W557" s="254"/>
      <c r="X557" s="254"/>
      <c r="Y557" s="154"/>
      <c r="Z557" s="6"/>
      <c r="AA557" s="6"/>
      <c r="AB557" s="6"/>
      <c r="AC557" s="6"/>
      <c r="AD557" s="6"/>
      <c r="AE557" s="75"/>
      <c r="AF557" s="45"/>
    </row>
    <row r="558" spans="2:32" customFormat="1" x14ac:dyDescent="0.25">
      <c r="B558" s="127"/>
      <c r="D558" s="234"/>
      <c r="E558" s="234"/>
      <c r="V558" s="262"/>
      <c r="W558" s="254"/>
      <c r="X558" s="254"/>
      <c r="Y558" s="154"/>
      <c r="Z558" s="6"/>
      <c r="AA558" s="6"/>
      <c r="AB558" s="6"/>
      <c r="AC558" s="6"/>
      <c r="AD558" s="6"/>
      <c r="AE558" s="75"/>
      <c r="AF558" s="45"/>
    </row>
    <row r="559" spans="2:32" customFormat="1" x14ac:dyDescent="0.25">
      <c r="B559" s="127"/>
      <c r="D559" s="234"/>
      <c r="E559" s="234"/>
      <c r="V559" s="262"/>
      <c r="W559" s="254"/>
      <c r="X559" s="254"/>
      <c r="Y559" s="154"/>
      <c r="Z559" s="6"/>
      <c r="AA559" s="6"/>
      <c r="AB559" s="6"/>
      <c r="AC559" s="6"/>
      <c r="AD559" s="6"/>
      <c r="AE559" s="75"/>
      <c r="AF559" s="45"/>
    </row>
    <row r="560" spans="2:32" customFormat="1" x14ac:dyDescent="0.25">
      <c r="B560" s="127"/>
      <c r="D560" s="234"/>
      <c r="E560" s="234"/>
      <c r="V560" s="262"/>
      <c r="W560" s="254"/>
      <c r="X560" s="254"/>
      <c r="Y560" s="154"/>
      <c r="Z560" s="6"/>
      <c r="AA560" s="6"/>
      <c r="AB560" s="6"/>
      <c r="AC560" s="6"/>
      <c r="AD560" s="6"/>
      <c r="AE560" s="75"/>
      <c r="AF560" s="45"/>
    </row>
    <row r="561" spans="2:32" customFormat="1" x14ac:dyDescent="0.25">
      <c r="B561" s="127"/>
      <c r="D561" s="234"/>
      <c r="E561" s="234"/>
      <c r="V561" s="262"/>
      <c r="W561" s="254"/>
      <c r="X561" s="254"/>
      <c r="Y561" s="154"/>
      <c r="Z561" s="6"/>
      <c r="AA561" s="6"/>
      <c r="AB561" s="6"/>
      <c r="AC561" s="6"/>
      <c r="AD561" s="6"/>
      <c r="AE561" s="75"/>
      <c r="AF561" s="45"/>
    </row>
    <row r="562" spans="2:32" customFormat="1" x14ac:dyDescent="0.25">
      <c r="B562" s="127"/>
      <c r="D562" s="234"/>
      <c r="E562" s="234"/>
      <c r="V562" s="262"/>
      <c r="W562" s="254"/>
      <c r="X562" s="254"/>
      <c r="Y562" s="154"/>
      <c r="Z562" s="6"/>
      <c r="AA562" s="6"/>
      <c r="AB562" s="6"/>
      <c r="AC562" s="6"/>
      <c r="AD562" s="6"/>
      <c r="AE562" s="75"/>
      <c r="AF562" s="45"/>
    </row>
    <row r="563" spans="2:32" customFormat="1" x14ac:dyDescent="0.25">
      <c r="B563" s="127"/>
      <c r="D563" s="234"/>
      <c r="E563" s="234"/>
      <c r="V563" s="262"/>
      <c r="W563" s="254"/>
      <c r="X563" s="254"/>
      <c r="Y563" s="154"/>
      <c r="Z563" s="6"/>
      <c r="AA563" s="6"/>
      <c r="AB563" s="6"/>
      <c r="AC563" s="6"/>
      <c r="AD563" s="6"/>
      <c r="AE563" s="75"/>
      <c r="AF563" s="45"/>
    </row>
    <row r="564" spans="2:32" customFormat="1" x14ac:dyDescent="0.25">
      <c r="B564" s="127"/>
      <c r="D564" s="234"/>
      <c r="E564" s="234"/>
      <c r="V564" s="262"/>
      <c r="W564" s="254"/>
      <c r="X564" s="254"/>
      <c r="Y564" s="154"/>
      <c r="Z564" s="6"/>
      <c r="AA564" s="6"/>
      <c r="AB564" s="6"/>
      <c r="AC564" s="6"/>
      <c r="AD564" s="6"/>
      <c r="AE564" s="75"/>
      <c r="AF564" s="45"/>
    </row>
    <row r="565" spans="2:32" customFormat="1" x14ac:dyDescent="0.25">
      <c r="B565" s="127"/>
      <c r="D565" s="234"/>
      <c r="E565" s="234"/>
      <c r="V565" s="262"/>
      <c r="W565" s="254"/>
      <c r="X565" s="254"/>
      <c r="Y565" s="154"/>
      <c r="Z565" s="6"/>
      <c r="AA565" s="6"/>
      <c r="AB565" s="6"/>
      <c r="AC565" s="6"/>
      <c r="AD565" s="6"/>
      <c r="AE565" s="75"/>
      <c r="AF565" s="45"/>
    </row>
    <row r="566" spans="2:32" customFormat="1" x14ac:dyDescent="0.25">
      <c r="B566" s="127"/>
      <c r="D566" s="234"/>
      <c r="E566" s="234"/>
      <c r="V566" s="262"/>
      <c r="W566" s="254"/>
      <c r="X566" s="254"/>
      <c r="Y566" s="154"/>
      <c r="Z566" s="6"/>
      <c r="AA566" s="6"/>
      <c r="AB566" s="6"/>
      <c r="AC566" s="6"/>
      <c r="AD566" s="6"/>
      <c r="AE566" s="75"/>
      <c r="AF566" s="45"/>
    </row>
    <row r="567" spans="2:32" customFormat="1" x14ac:dyDescent="0.25">
      <c r="B567" s="127"/>
      <c r="D567" s="234"/>
      <c r="E567" s="234"/>
      <c r="V567" s="262"/>
      <c r="W567" s="254"/>
      <c r="X567" s="254"/>
      <c r="Y567" s="154"/>
      <c r="Z567" s="6"/>
      <c r="AA567" s="6"/>
      <c r="AB567" s="6"/>
      <c r="AC567" s="6"/>
      <c r="AD567" s="6"/>
      <c r="AE567" s="75"/>
      <c r="AF567" s="45"/>
    </row>
    <row r="568" spans="2:32" customFormat="1" x14ac:dyDescent="0.25">
      <c r="B568" s="127"/>
      <c r="D568" s="234"/>
      <c r="E568" s="234"/>
      <c r="V568" s="262"/>
      <c r="W568" s="254"/>
      <c r="X568" s="254"/>
      <c r="Y568" s="154"/>
      <c r="Z568" s="6"/>
      <c r="AA568" s="6"/>
      <c r="AB568" s="6"/>
      <c r="AC568" s="6"/>
      <c r="AD568" s="6"/>
      <c r="AE568" s="75"/>
      <c r="AF568" s="45"/>
    </row>
    <row r="569" spans="2:32" customFormat="1" x14ac:dyDescent="0.25">
      <c r="B569" s="127"/>
      <c r="D569" s="234"/>
      <c r="E569" s="234"/>
      <c r="V569" s="262"/>
      <c r="W569" s="254"/>
      <c r="X569" s="254"/>
      <c r="Y569" s="154"/>
      <c r="Z569" s="6"/>
      <c r="AA569" s="6"/>
      <c r="AB569" s="6"/>
      <c r="AC569" s="6"/>
      <c r="AD569" s="6"/>
      <c r="AE569" s="75"/>
      <c r="AF569" s="45"/>
    </row>
    <row r="570" spans="2:32" customFormat="1" x14ac:dyDescent="0.25">
      <c r="B570" s="127"/>
      <c r="D570" s="234"/>
      <c r="E570" s="234"/>
      <c r="V570" s="262"/>
      <c r="W570" s="254"/>
      <c r="X570" s="254"/>
      <c r="Y570" s="154"/>
      <c r="Z570" s="6"/>
      <c r="AA570" s="6"/>
      <c r="AB570" s="6"/>
      <c r="AC570" s="6"/>
      <c r="AD570" s="6"/>
      <c r="AE570" s="75"/>
      <c r="AF570" s="45"/>
    </row>
    <row r="571" spans="2:32" customFormat="1" x14ac:dyDescent="0.25">
      <c r="B571" s="127"/>
      <c r="D571" s="234"/>
      <c r="E571" s="234"/>
      <c r="V571" s="262"/>
      <c r="W571" s="254"/>
      <c r="X571" s="254"/>
      <c r="Y571" s="154"/>
      <c r="Z571" s="6"/>
      <c r="AA571" s="6"/>
      <c r="AB571" s="6"/>
      <c r="AC571" s="6"/>
      <c r="AD571" s="6"/>
      <c r="AE571" s="75"/>
      <c r="AF571" s="45"/>
    </row>
    <row r="572" spans="2:32" customFormat="1" x14ac:dyDescent="0.25">
      <c r="B572" s="127"/>
      <c r="D572" s="234"/>
      <c r="E572" s="234"/>
      <c r="V572" s="262"/>
      <c r="W572" s="254"/>
      <c r="X572" s="254"/>
      <c r="Y572" s="154"/>
      <c r="Z572" s="6"/>
      <c r="AA572" s="6"/>
      <c r="AB572" s="6"/>
      <c r="AC572" s="6"/>
      <c r="AD572" s="6"/>
      <c r="AE572" s="75"/>
      <c r="AF572" s="45"/>
    </row>
    <row r="573" spans="2:32" customFormat="1" x14ac:dyDescent="0.25">
      <c r="B573" s="127"/>
      <c r="D573" s="234"/>
      <c r="E573" s="234"/>
      <c r="V573" s="262"/>
      <c r="W573" s="254"/>
      <c r="X573" s="254"/>
      <c r="Y573" s="154"/>
      <c r="Z573" s="6"/>
      <c r="AA573" s="6"/>
      <c r="AB573" s="6"/>
      <c r="AC573" s="6"/>
      <c r="AD573" s="6"/>
      <c r="AE573" s="75"/>
      <c r="AF573" s="45"/>
    </row>
    <row r="574" spans="2:32" customFormat="1" x14ac:dyDescent="0.25">
      <c r="B574" s="127"/>
      <c r="D574" s="234"/>
      <c r="E574" s="234"/>
      <c r="V574" s="262"/>
      <c r="W574" s="254"/>
      <c r="X574" s="254"/>
      <c r="Y574" s="154"/>
      <c r="Z574" s="6"/>
      <c r="AA574" s="6"/>
      <c r="AB574" s="6"/>
      <c r="AC574" s="6"/>
      <c r="AD574" s="6"/>
      <c r="AE574" s="75"/>
      <c r="AF574" s="45"/>
    </row>
    <row r="575" spans="2:32" customFormat="1" x14ac:dyDescent="0.25">
      <c r="B575" s="127"/>
      <c r="D575" s="234"/>
      <c r="E575" s="234"/>
      <c r="V575" s="262"/>
      <c r="W575" s="254"/>
      <c r="X575" s="254"/>
      <c r="Y575" s="154"/>
      <c r="Z575" s="6"/>
      <c r="AA575" s="6"/>
      <c r="AB575" s="6"/>
      <c r="AC575" s="6"/>
      <c r="AD575" s="6"/>
      <c r="AE575" s="75"/>
      <c r="AF575" s="45"/>
    </row>
    <row r="576" spans="2:32" customFormat="1" x14ac:dyDescent="0.25">
      <c r="B576" s="127"/>
      <c r="D576" s="234"/>
      <c r="E576" s="234"/>
      <c r="V576" s="262"/>
      <c r="W576" s="254"/>
      <c r="X576" s="254"/>
      <c r="Y576" s="154"/>
      <c r="Z576" s="6"/>
      <c r="AA576" s="6"/>
      <c r="AB576" s="6"/>
      <c r="AC576" s="6"/>
      <c r="AD576" s="6"/>
      <c r="AE576" s="75"/>
      <c r="AF576" s="45"/>
    </row>
    <row r="577" spans="2:32" customFormat="1" x14ac:dyDescent="0.25">
      <c r="B577" s="127"/>
      <c r="D577" s="234"/>
      <c r="E577" s="234"/>
      <c r="V577" s="262"/>
      <c r="W577" s="254"/>
      <c r="X577" s="254"/>
      <c r="Y577" s="154"/>
      <c r="Z577" s="6"/>
      <c r="AA577" s="6"/>
      <c r="AB577" s="6"/>
      <c r="AC577" s="6"/>
      <c r="AD577" s="6"/>
      <c r="AE577" s="75"/>
      <c r="AF577" s="45"/>
    </row>
    <row r="578" spans="2:32" customFormat="1" x14ac:dyDescent="0.25">
      <c r="B578" s="127"/>
      <c r="D578" s="234"/>
      <c r="E578" s="234"/>
      <c r="V578" s="262"/>
      <c r="W578" s="254"/>
      <c r="X578" s="254"/>
      <c r="Y578" s="154"/>
      <c r="Z578" s="6"/>
      <c r="AA578" s="6"/>
      <c r="AB578" s="6"/>
      <c r="AC578" s="6"/>
      <c r="AD578" s="6"/>
      <c r="AE578" s="75"/>
      <c r="AF578" s="45"/>
    </row>
    <row r="579" spans="2:32" customFormat="1" x14ac:dyDescent="0.25">
      <c r="B579" s="127"/>
      <c r="D579" s="234"/>
      <c r="E579" s="234"/>
      <c r="V579" s="262"/>
      <c r="W579" s="254"/>
      <c r="X579" s="254"/>
      <c r="Y579" s="154"/>
      <c r="Z579" s="6"/>
      <c r="AA579" s="6"/>
      <c r="AB579" s="6"/>
      <c r="AC579" s="6"/>
      <c r="AD579" s="6"/>
      <c r="AE579" s="75"/>
      <c r="AF579" s="45"/>
    </row>
    <row r="580" spans="2:32" customFormat="1" x14ac:dyDescent="0.25">
      <c r="B580" s="127"/>
      <c r="D580" s="234"/>
      <c r="E580" s="234"/>
      <c r="V580" s="262"/>
      <c r="W580" s="254"/>
      <c r="X580" s="254"/>
      <c r="Y580" s="154"/>
      <c r="Z580" s="6"/>
      <c r="AA580" s="6"/>
      <c r="AB580" s="6"/>
      <c r="AC580" s="6"/>
      <c r="AD580" s="6"/>
      <c r="AE580" s="75"/>
      <c r="AF580" s="45"/>
    </row>
    <row r="581" spans="2:32" customFormat="1" x14ac:dyDescent="0.25">
      <c r="B581" s="127"/>
      <c r="D581" s="234"/>
      <c r="E581" s="234"/>
      <c r="V581" s="262"/>
      <c r="W581" s="254"/>
      <c r="X581" s="254"/>
      <c r="Y581" s="154"/>
      <c r="Z581" s="6"/>
      <c r="AA581" s="6"/>
      <c r="AB581" s="6"/>
      <c r="AC581" s="6"/>
      <c r="AD581" s="6"/>
      <c r="AE581" s="75"/>
      <c r="AF581" s="45"/>
    </row>
    <row r="582" spans="2:32" customFormat="1" x14ac:dyDescent="0.25">
      <c r="B582" s="127"/>
      <c r="D582" s="234"/>
      <c r="E582" s="234"/>
      <c r="V582" s="262"/>
      <c r="W582" s="254"/>
      <c r="X582" s="254"/>
      <c r="Y582" s="154"/>
      <c r="Z582" s="6"/>
      <c r="AA582" s="6"/>
      <c r="AB582" s="6"/>
      <c r="AC582" s="6"/>
      <c r="AD582" s="6"/>
      <c r="AE582" s="75"/>
      <c r="AF582" s="45"/>
    </row>
    <row r="583" spans="2:32" customFormat="1" x14ac:dyDescent="0.25">
      <c r="B583" s="127"/>
      <c r="D583" s="234"/>
      <c r="E583" s="234"/>
      <c r="V583" s="262"/>
      <c r="W583" s="254"/>
      <c r="X583" s="254"/>
      <c r="Y583" s="154"/>
      <c r="Z583" s="6"/>
      <c r="AA583" s="6"/>
      <c r="AB583" s="6"/>
      <c r="AC583" s="6"/>
      <c r="AD583" s="6"/>
      <c r="AE583" s="75"/>
      <c r="AF583" s="45"/>
    </row>
    <row r="584" spans="2:32" customFormat="1" x14ac:dyDescent="0.25">
      <c r="B584" s="127"/>
      <c r="D584" s="234"/>
      <c r="E584" s="234"/>
      <c r="V584" s="262"/>
      <c r="W584" s="254"/>
      <c r="X584" s="254"/>
      <c r="Y584" s="154"/>
      <c r="Z584" s="6"/>
      <c r="AA584" s="6"/>
      <c r="AB584" s="6"/>
      <c r="AC584" s="6"/>
      <c r="AD584" s="6"/>
      <c r="AE584" s="75"/>
      <c r="AF584" s="45"/>
    </row>
    <row r="585" spans="2:32" customFormat="1" x14ac:dyDescent="0.25">
      <c r="B585" s="127"/>
      <c r="D585" s="234"/>
      <c r="E585" s="234"/>
      <c r="V585" s="262"/>
      <c r="W585" s="254"/>
      <c r="X585" s="254"/>
      <c r="Y585" s="154"/>
      <c r="Z585" s="6"/>
      <c r="AA585" s="6"/>
      <c r="AB585" s="6"/>
      <c r="AC585" s="6"/>
      <c r="AD585" s="6"/>
      <c r="AE585" s="75"/>
      <c r="AF585" s="45"/>
    </row>
    <row r="586" spans="2:32" customFormat="1" x14ac:dyDescent="0.25">
      <c r="B586" s="127"/>
      <c r="D586" s="234"/>
      <c r="E586" s="234"/>
      <c r="V586" s="262"/>
      <c r="W586" s="254"/>
      <c r="X586" s="254"/>
      <c r="Y586" s="154"/>
      <c r="Z586" s="6"/>
      <c r="AA586" s="6"/>
      <c r="AB586" s="6"/>
      <c r="AC586" s="6"/>
      <c r="AD586" s="6"/>
      <c r="AE586" s="75"/>
      <c r="AF586" s="45"/>
    </row>
    <row r="587" spans="2:32" customFormat="1" x14ac:dyDescent="0.25">
      <c r="B587" s="127"/>
      <c r="D587" s="234"/>
      <c r="E587" s="234"/>
      <c r="V587" s="262"/>
      <c r="W587" s="254"/>
      <c r="X587" s="254"/>
      <c r="Y587" s="154"/>
      <c r="Z587" s="6"/>
      <c r="AA587" s="6"/>
      <c r="AB587" s="6"/>
      <c r="AC587" s="6"/>
      <c r="AD587" s="6"/>
      <c r="AE587" s="75"/>
      <c r="AF587" s="45"/>
    </row>
    <row r="588" spans="2:32" customFormat="1" x14ac:dyDescent="0.25">
      <c r="B588" s="127"/>
      <c r="D588" s="234"/>
      <c r="E588" s="234"/>
      <c r="V588" s="262"/>
      <c r="W588" s="254"/>
      <c r="X588" s="254"/>
      <c r="Y588" s="154"/>
      <c r="Z588" s="6"/>
      <c r="AA588" s="6"/>
      <c r="AB588" s="6"/>
      <c r="AC588" s="6"/>
      <c r="AD588" s="6"/>
      <c r="AE588" s="75"/>
      <c r="AF588" s="45"/>
    </row>
    <row r="589" spans="2:32" customFormat="1" x14ac:dyDescent="0.25">
      <c r="B589" s="127"/>
      <c r="D589" s="234"/>
      <c r="E589" s="234"/>
      <c r="V589" s="262"/>
      <c r="W589" s="254"/>
      <c r="X589" s="254"/>
      <c r="Y589" s="154"/>
      <c r="Z589" s="6"/>
      <c r="AA589" s="6"/>
      <c r="AB589" s="6"/>
      <c r="AC589" s="6"/>
      <c r="AD589" s="6"/>
      <c r="AE589" s="75"/>
      <c r="AF589" s="45"/>
    </row>
    <row r="590" spans="2:32" customFormat="1" x14ac:dyDescent="0.25">
      <c r="B590" s="127"/>
      <c r="D590" s="234"/>
      <c r="E590" s="234"/>
      <c r="V590" s="262"/>
      <c r="W590" s="254"/>
      <c r="X590" s="254"/>
      <c r="Y590" s="154"/>
      <c r="Z590" s="6"/>
      <c r="AA590" s="6"/>
      <c r="AB590" s="6"/>
      <c r="AC590" s="6"/>
      <c r="AD590" s="6"/>
      <c r="AE590" s="75"/>
      <c r="AF590" s="45"/>
    </row>
    <row r="591" spans="2:32" customFormat="1" x14ac:dyDescent="0.25">
      <c r="B591" s="127"/>
      <c r="D591" s="234"/>
      <c r="E591" s="234"/>
      <c r="V591" s="262"/>
      <c r="W591" s="254"/>
      <c r="X591" s="254"/>
      <c r="Y591" s="154"/>
      <c r="Z591" s="6"/>
      <c r="AA591" s="6"/>
      <c r="AB591" s="6"/>
      <c r="AC591" s="6"/>
      <c r="AD591" s="6"/>
      <c r="AE591" s="75"/>
      <c r="AF591" s="45"/>
    </row>
    <row r="592" spans="2:32" customFormat="1" x14ac:dyDescent="0.25">
      <c r="B592" s="127"/>
      <c r="D592" s="234"/>
      <c r="E592" s="234"/>
      <c r="V592" s="262"/>
      <c r="W592" s="254"/>
      <c r="X592" s="254"/>
      <c r="Y592" s="154"/>
      <c r="Z592" s="6"/>
      <c r="AA592" s="6"/>
      <c r="AB592" s="6"/>
      <c r="AC592" s="6"/>
      <c r="AD592" s="6"/>
      <c r="AE592" s="75"/>
      <c r="AF592" s="45"/>
    </row>
    <row r="593" spans="2:32" customFormat="1" x14ac:dyDescent="0.25">
      <c r="B593" s="127"/>
      <c r="D593" s="234"/>
      <c r="E593" s="234"/>
      <c r="V593" s="262"/>
      <c r="W593" s="254"/>
      <c r="X593" s="254"/>
      <c r="Y593" s="154"/>
      <c r="Z593" s="6"/>
      <c r="AA593" s="6"/>
      <c r="AB593" s="6"/>
      <c r="AC593" s="6"/>
      <c r="AD593" s="6"/>
      <c r="AE593" s="75"/>
      <c r="AF593" s="45"/>
    </row>
    <row r="594" spans="2:32" customFormat="1" x14ac:dyDescent="0.25">
      <c r="B594" s="127"/>
      <c r="D594" s="234"/>
      <c r="E594" s="234"/>
      <c r="V594" s="262"/>
      <c r="W594" s="254"/>
      <c r="X594" s="254"/>
      <c r="Y594" s="154"/>
      <c r="Z594" s="6"/>
      <c r="AA594" s="6"/>
      <c r="AB594" s="6"/>
      <c r="AC594" s="6"/>
      <c r="AD594" s="6"/>
      <c r="AE594" s="75"/>
      <c r="AF594" s="45"/>
    </row>
    <row r="595" spans="2:32" customFormat="1" x14ac:dyDescent="0.25">
      <c r="B595" s="127"/>
      <c r="D595" s="234"/>
      <c r="E595" s="234"/>
      <c r="V595" s="262"/>
      <c r="W595" s="254"/>
      <c r="X595" s="254"/>
      <c r="Y595" s="154"/>
      <c r="Z595" s="6"/>
      <c r="AA595" s="6"/>
      <c r="AB595" s="6"/>
      <c r="AC595" s="6"/>
      <c r="AD595" s="6"/>
      <c r="AE595" s="75"/>
      <c r="AF595" s="45"/>
    </row>
    <row r="596" spans="2:32" customFormat="1" x14ac:dyDescent="0.25">
      <c r="B596" s="127"/>
      <c r="D596" s="234"/>
      <c r="E596" s="234"/>
      <c r="V596" s="262"/>
      <c r="W596" s="254"/>
      <c r="X596" s="254"/>
      <c r="Y596" s="154"/>
      <c r="Z596" s="6"/>
      <c r="AA596" s="6"/>
      <c r="AB596" s="6"/>
      <c r="AC596" s="6"/>
      <c r="AD596" s="6"/>
      <c r="AE596" s="75"/>
      <c r="AF596" s="45"/>
    </row>
    <row r="597" spans="2:32" customFormat="1" x14ac:dyDescent="0.25">
      <c r="B597" s="127"/>
      <c r="D597" s="234"/>
      <c r="E597" s="234"/>
      <c r="V597" s="262"/>
      <c r="W597" s="254"/>
      <c r="X597" s="254"/>
      <c r="Y597" s="154"/>
      <c r="Z597" s="6"/>
      <c r="AA597" s="6"/>
      <c r="AB597" s="6"/>
      <c r="AC597" s="6"/>
      <c r="AD597" s="6"/>
      <c r="AE597" s="75"/>
      <c r="AF597" s="45"/>
    </row>
    <row r="598" spans="2:32" customFormat="1" x14ac:dyDescent="0.25">
      <c r="B598" s="127"/>
      <c r="D598" s="234"/>
      <c r="E598" s="234"/>
      <c r="V598" s="262"/>
      <c r="W598" s="254"/>
      <c r="X598" s="254"/>
      <c r="Y598" s="154"/>
      <c r="Z598" s="6"/>
      <c r="AA598" s="6"/>
      <c r="AB598" s="6"/>
      <c r="AC598" s="6"/>
      <c r="AD598" s="6"/>
      <c r="AE598" s="75"/>
      <c r="AF598" s="45"/>
    </row>
    <row r="599" spans="2:32" customFormat="1" x14ac:dyDescent="0.25">
      <c r="B599" s="127"/>
      <c r="D599" s="234"/>
      <c r="E599" s="234"/>
      <c r="V599" s="262"/>
      <c r="W599" s="254"/>
      <c r="X599" s="254"/>
      <c r="Y599" s="154"/>
      <c r="Z599" s="6"/>
      <c r="AA599" s="6"/>
      <c r="AB599" s="6"/>
      <c r="AC599" s="6"/>
      <c r="AD599" s="6"/>
      <c r="AE599" s="75"/>
      <c r="AF599" s="45"/>
    </row>
    <row r="600" spans="2:32" customFormat="1" x14ac:dyDescent="0.25">
      <c r="B600" s="127"/>
      <c r="D600" s="234"/>
      <c r="E600" s="234"/>
      <c r="V600" s="262"/>
      <c r="W600" s="254"/>
      <c r="X600" s="254"/>
      <c r="Y600" s="154"/>
      <c r="Z600" s="6"/>
      <c r="AA600" s="6"/>
      <c r="AB600" s="6"/>
      <c r="AC600" s="6"/>
      <c r="AD600" s="6"/>
      <c r="AE600" s="75"/>
      <c r="AF600" s="45"/>
    </row>
    <row r="601" spans="2:32" customFormat="1" x14ac:dyDescent="0.25">
      <c r="B601" s="127"/>
      <c r="D601" s="234"/>
      <c r="E601" s="234"/>
      <c r="V601" s="262"/>
      <c r="W601" s="254"/>
      <c r="X601" s="254"/>
      <c r="Y601" s="154"/>
      <c r="Z601" s="6"/>
      <c r="AA601" s="6"/>
      <c r="AB601" s="6"/>
      <c r="AC601" s="6"/>
      <c r="AD601" s="6"/>
      <c r="AE601" s="75"/>
      <c r="AF601" s="45"/>
    </row>
    <row r="602" spans="2:32" customFormat="1" x14ac:dyDescent="0.25">
      <c r="B602" s="127"/>
      <c r="D602" s="234"/>
      <c r="E602" s="234"/>
      <c r="V602" s="262"/>
      <c r="W602" s="254"/>
      <c r="X602" s="254"/>
      <c r="Y602" s="154"/>
      <c r="Z602" s="6"/>
      <c r="AA602" s="6"/>
      <c r="AB602" s="6"/>
      <c r="AC602" s="6"/>
      <c r="AD602" s="6"/>
      <c r="AE602" s="75"/>
      <c r="AF602" s="45"/>
    </row>
    <row r="603" spans="2:32" customFormat="1" x14ac:dyDescent="0.25">
      <c r="B603" s="127"/>
      <c r="D603" s="234"/>
      <c r="E603" s="234"/>
      <c r="V603" s="262"/>
      <c r="W603" s="254"/>
      <c r="X603" s="254"/>
      <c r="Y603" s="154"/>
      <c r="Z603" s="6"/>
      <c r="AA603" s="6"/>
      <c r="AB603" s="6"/>
      <c r="AC603" s="6"/>
      <c r="AD603" s="6"/>
      <c r="AE603" s="75"/>
      <c r="AF603" s="45"/>
    </row>
    <row r="604" spans="2:32" customFormat="1" x14ac:dyDescent="0.25">
      <c r="B604" s="127"/>
      <c r="D604" s="234"/>
      <c r="E604" s="234"/>
      <c r="V604" s="262"/>
      <c r="W604" s="254"/>
      <c r="X604" s="254"/>
      <c r="Y604" s="154"/>
      <c r="Z604" s="6"/>
      <c r="AA604" s="6"/>
      <c r="AB604" s="6"/>
      <c r="AC604" s="6"/>
      <c r="AD604" s="6"/>
      <c r="AE604" s="75"/>
      <c r="AF604" s="45"/>
    </row>
    <row r="605" spans="2:32" customFormat="1" x14ac:dyDescent="0.25">
      <c r="B605" s="127"/>
      <c r="D605" s="234"/>
      <c r="E605" s="234"/>
      <c r="V605" s="262"/>
      <c r="W605" s="254"/>
      <c r="X605" s="254"/>
      <c r="Y605" s="154"/>
      <c r="Z605" s="6"/>
      <c r="AA605" s="6"/>
      <c r="AB605" s="6"/>
      <c r="AC605" s="6"/>
      <c r="AD605" s="6"/>
      <c r="AE605" s="75"/>
      <c r="AF605" s="45"/>
    </row>
    <row r="606" spans="2:32" customFormat="1" x14ac:dyDescent="0.25">
      <c r="B606" s="127"/>
      <c r="D606" s="234"/>
      <c r="E606" s="234"/>
      <c r="V606" s="262"/>
      <c r="W606" s="254"/>
      <c r="X606" s="254"/>
      <c r="Y606" s="154"/>
      <c r="Z606" s="6"/>
      <c r="AA606" s="6"/>
      <c r="AB606" s="6"/>
      <c r="AC606" s="6"/>
      <c r="AD606" s="6"/>
      <c r="AE606" s="75"/>
      <c r="AF606" s="45"/>
    </row>
    <row r="607" spans="2:32" customFormat="1" x14ac:dyDescent="0.25">
      <c r="B607" s="127"/>
      <c r="D607" s="234"/>
      <c r="E607" s="234"/>
      <c r="V607" s="262"/>
      <c r="W607" s="254"/>
      <c r="X607" s="254"/>
      <c r="Y607" s="154"/>
      <c r="Z607" s="6"/>
      <c r="AA607" s="6"/>
      <c r="AB607" s="6"/>
      <c r="AC607" s="6"/>
      <c r="AD607" s="6"/>
      <c r="AE607" s="75"/>
      <c r="AF607" s="45"/>
    </row>
    <row r="608" spans="2:32" customFormat="1" x14ac:dyDescent="0.25">
      <c r="B608" s="127"/>
      <c r="D608" s="234"/>
      <c r="E608" s="234"/>
      <c r="V608" s="262"/>
      <c r="W608" s="254"/>
      <c r="X608" s="254"/>
      <c r="Y608" s="154"/>
      <c r="Z608" s="6"/>
      <c r="AA608" s="6"/>
      <c r="AB608" s="6"/>
      <c r="AC608" s="6"/>
      <c r="AD608" s="6"/>
      <c r="AE608" s="75"/>
      <c r="AF608" s="45"/>
    </row>
    <row r="609" spans="2:32" customFormat="1" x14ac:dyDescent="0.25">
      <c r="B609" s="127"/>
      <c r="D609" s="234"/>
      <c r="E609" s="234"/>
      <c r="V609" s="262"/>
      <c r="W609" s="254"/>
      <c r="X609" s="254"/>
      <c r="Y609" s="154"/>
      <c r="Z609" s="6"/>
      <c r="AA609" s="6"/>
      <c r="AB609" s="6"/>
      <c r="AC609" s="6"/>
      <c r="AD609" s="6"/>
      <c r="AE609" s="75"/>
      <c r="AF609" s="45"/>
    </row>
    <row r="610" spans="2:32" customFormat="1" x14ac:dyDescent="0.25">
      <c r="B610" s="127"/>
      <c r="D610" s="234"/>
      <c r="E610" s="234"/>
      <c r="V610" s="262"/>
      <c r="W610" s="254"/>
      <c r="X610" s="254"/>
      <c r="Y610" s="154"/>
      <c r="Z610" s="6"/>
      <c r="AA610" s="6"/>
      <c r="AB610" s="6"/>
      <c r="AC610" s="6"/>
      <c r="AD610" s="6"/>
      <c r="AE610" s="75"/>
      <c r="AF610" s="45"/>
    </row>
    <row r="611" spans="2:32" customFormat="1" x14ac:dyDescent="0.25">
      <c r="B611" s="127"/>
      <c r="D611" s="234"/>
      <c r="E611" s="234"/>
      <c r="V611" s="262"/>
      <c r="W611" s="254"/>
      <c r="X611" s="254"/>
      <c r="Y611" s="154"/>
      <c r="Z611" s="6"/>
      <c r="AA611" s="6"/>
      <c r="AB611" s="6"/>
      <c r="AC611" s="6"/>
      <c r="AD611" s="6"/>
      <c r="AE611" s="75"/>
      <c r="AF611" s="45"/>
    </row>
    <row r="612" spans="2:32" customFormat="1" x14ac:dyDescent="0.25">
      <c r="B612" s="127"/>
      <c r="D612" s="234"/>
      <c r="E612" s="234"/>
      <c r="V612" s="262"/>
      <c r="W612" s="254"/>
      <c r="X612" s="254"/>
      <c r="Y612" s="154"/>
      <c r="Z612" s="6"/>
      <c r="AA612" s="6"/>
      <c r="AB612" s="6"/>
      <c r="AC612" s="6"/>
      <c r="AD612" s="6"/>
      <c r="AE612" s="75"/>
      <c r="AF612" s="45"/>
    </row>
    <row r="613" spans="2:32" customFormat="1" x14ac:dyDescent="0.25">
      <c r="B613" s="127"/>
      <c r="D613" s="234"/>
      <c r="E613" s="234"/>
      <c r="V613" s="262"/>
      <c r="W613" s="254"/>
      <c r="X613" s="254"/>
      <c r="Y613" s="154"/>
      <c r="Z613" s="6"/>
      <c r="AA613" s="6"/>
      <c r="AB613" s="6"/>
      <c r="AC613" s="6"/>
      <c r="AD613" s="6"/>
      <c r="AE613" s="75"/>
      <c r="AF613" s="45"/>
    </row>
    <row r="614" spans="2:32" customFormat="1" x14ac:dyDescent="0.25">
      <c r="B614" s="127"/>
      <c r="D614" s="234"/>
      <c r="E614" s="234"/>
      <c r="V614" s="262"/>
      <c r="W614" s="254"/>
      <c r="X614" s="254"/>
      <c r="Y614" s="154"/>
      <c r="Z614" s="6"/>
      <c r="AA614" s="6"/>
      <c r="AB614" s="6"/>
      <c r="AC614" s="6"/>
      <c r="AD614" s="6"/>
      <c r="AE614" s="75"/>
      <c r="AF614" s="45"/>
    </row>
    <row r="615" spans="2:32" customFormat="1" x14ac:dyDescent="0.25">
      <c r="B615" s="127"/>
      <c r="D615" s="234"/>
      <c r="E615" s="234"/>
      <c r="V615" s="262"/>
      <c r="W615" s="254"/>
      <c r="X615" s="254"/>
      <c r="Y615" s="154"/>
      <c r="Z615" s="6"/>
      <c r="AA615" s="6"/>
      <c r="AB615" s="6"/>
      <c r="AC615" s="6"/>
      <c r="AD615" s="6"/>
      <c r="AE615" s="75"/>
      <c r="AF615" s="45"/>
    </row>
    <row r="616" spans="2:32" customFormat="1" x14ac:dyDescent="0.25">
      <c r="B616" s="127"/>
      <c r="D616" s="234"/>
      <c r="E616" s="234"/>
      <c r="V616" s="262"/>
      <c r="W616" s="254"/>
      <c r="X616" s="254"/>
      <c r="Y616" s="154"/>
      <c r="Z616" s="6"/>
      <c r="AA616" s="6"/>
      <c r="AB616" s="6"/>
      <c r="AC616" s="6"/>
      <c r="AD616" s="6"/>
      <c r="AE616" s="75"/>
      <c r="AF616" s="45"/>
    </row>
    <row r="617" spans="2:32" customFormat="1" x14ac:dyDescent="0.25">
      <c r="B617" s="127"/>
      <c r="D617" s="234"/>
      <c r="E617" s="234"/>
      <c r="V617" s="262"/>
      <c r="W617" s="254"/>
      <c r="X617" s="254"/>
      <c r="Y617" s="154"/>
      <c r="Z617" s="6"/>
      <c r="AA617" s="6"/>
      <c r="AB617" s="6"/>
      <c r="AC617" s="6"/>
      <c r="AD617" s="6"/>
      <c r="AE617" s="75"/>
      <c r="AF617" s="45"/>
    </row>
    <row r="618" spans="2:32" customFormat="1" x14ac:dyDescent="0.25">
      <c r="B618" s="127"/>
      <c r="D618" s="234"/>
      <c r="E618" s="234"/>
      <c r="V618" s="262"/>
      <c r="W618" s="254"/>
      <c r="X618" s="254"/>
      <c r="Y618" s="154"/>
      <c r="Z618" s="6"/>
      <c r="AA618" s="6"/>
      <c r="AB618" s="6"/>
      <c r="AC618" s="6"/>
      <c r="AD618" s="6"/>
      <c r="AE618" s="75"/>
      <c r="AF618" s="45"/>
    </row>
    <row r="619" spans="2:32" customFormat="1" x14ac:dyDescent="0.25">
      <c r="B619" s="127"/>
      <c r="D619" s="234"/>
      <c r="E619" s="234"/>
      <c r="V619" s="262"/>
      <c r="W619" s="254"/>
      <c r="X619" s="254"/>
      <c r="Y619" s="154"/>
      <c r="Z619" s="6"/>
      <c r="AA619" s="6"/>
      <c r="AB619" s="6"/>
      <c r="AC619" s="6"/>
      <c r="AD619" s="6"/>
      <c r="AE619" s="75"/>
      <c r="AF619" s="45"/>
    </row>
    <row r="620" spans="2:32" customFormat="1" x14ac:dyDescent="0.25">
      <c r="B620" s="127"/>
      <c r="D620" s="234"/>
      <c r="E620" s="234"/>
      <c r="V620" s="262"/>
      <c r="W620" s="254"/>
      <c r="X620" s="254"/>
      <c r="Y620" s="154"/>
      <c r="Z620" s="6"/>
      <c r="AA620" s="6"/>
      <c r="AB620" s="6"/>
      <c r="AC620" s="6"/>
      <c r="AD620" s="6"/>
      <c r="AE620" s="75"/>
      <c r="AF620" s="45"/>
    </row>
    <row r="621" spans="2:32" customFormat="1" x14ac:dyDescent="0.25">
      <c r="B621" s="127"/>
      <c r="D621" s="234"/>
      <c r="E621" s="234"/>
      <c r="V621" s="262"/>
      <c r="W621" s="254"/>
      <c r="X621" s="254"/>
      <c r="Y621" s="154"/>
      <c r="Z621" s="6"/>
      <c r="AA621" s="6"/>
      <c r="AB621" s="6"/>
      <c r="AC621" s="6"/>
      <c r="AD621" s="6"/>
      <c r="AE621" s="75"/>
      <c r="AF621" s="45"/>
    </row>
    <row r="622" spans="2:32" customFormat="1" x14ac:dyDescent="0.25">
      <c r="B622" s="127"/>
      <c r="D622" s="234"/>
      <c r="E622" s="234"/>
      <c r="V622" s="262"/>
      <c r="W622" s="254"/>
      <c r="X622" s="254"/>
      <c r="Y622" s="154"/>
      <c r="Z622" s="6"/>
      <c r="AA622" s="6"/>
      <c r="AB622" s="6"/>
      <c r="AC622" s="6"/>
      <c r="AD622" s="6"/>
      <c r="AE622" s="75"/>
      <c r="AF622" s="45"/>
    </row>
    <row r="623" spans="2:32" customFormat="1" x14ac:dyDescent="0.25">
      <c r="B623" s="127"/>
      <c r="D623" s="234"/>
      <c r="E623" s="234"/>
      <c r="V623" s="262"/>
      <c r="W623" s="254"/>
      <c r="X623" s="254"/>
      <c r="Y623" s="154"/>
      <c r="Z623" s="6"/>
      <c r="AA623" s="6"/>
      <c r="AB623" s="6"/>
      <c r="AC623" s="6"/>
      <c r="AD623" s="6"/>
      <c r="AE623" s="75"/>
      <c r="AF623" s="45"/>
    </row>
    <row r="624" spans="2:32" customFormat="1" x14ac:dyDescent="0.25">
      <c r="B624" s="127"/>
      <c r="D624" s="234"/>
      <c r="E624" s="234"/>
      <c r="V624" s="262"/>
      <c r="W624" s="254"/>
      <c r="X624" s="254"/>
      <c r="Y624" s="154"/>
      <c r="Z624" s="6"/>
      <c r="AA624" s="6"/>
      <c r="AB624" s="6"/>
      <c r="AC624" s="6"/>
      <c r="AD624" s="6"/>
      <c r="AE624" s="75"/>
      <c r="AF624" s="45"/>
    </row>
    <row r="625" spans="2:32" customFormat="1" x14ac:dyDescent="0.25">
      <c r="B625" s="127"/>
      <c r="D625" s="234"/>
      <c r="E625" s="234"/>
      <c r="V625" s="262"/>
      <c r="W625" s="254"/>
      <c r="X625" s="254"/>
      <c r="Y625" s="154"/>
      <c r="Z625" s="6"/>
      <c r="AA625" s="6"/>
      <c r="AB625" s="6"/>
      <c r="AC625" s="6"/>
      <c r="AD625" s="6"/>
      <c r="AE625" s="75"/>
      <c r="AF625" s="45"/>
    </row>
    <row r="626" spans="2:32" customFormat="1" x14ac:dyDescent="0.25">
      <c r="B626" s="127"/>
      <c r="D626" s="234"/>
      <c r="E626" s="234"/>
      <c r="V626" s="262"/>
      <c r="W626" s="254"/>
      <c r="X626" s="254"/>
      <c r="Y626" s="154"/>
      <c r="Z626" s="6"/>
      <c r="AA626" s="6"/>
      <c r="AB626" s="6"/>
      <c r="AC626" s="6"/>
      <c r="AD626" s="6"/>
      <c r="AE626" s="75"/>
      <c r="AF626" s="45"/>
    </row>
    <row r="627" spans="2:32" customFormat="1" x14ac:dyDescent="0.25">
      <c r="B627" s="127"/>
      <c r="D627" s="234"/>
      <c r="E627" s="234"/>
      <c r="V627" s="262"/>
      <c r="W627" s="254"/>
      <c r="X627" s="254"/>
      <c r="Y627" s="154"/>
      <c r="Z627" s="6"/>
      <c r="AA627" s="6"/>
      <c r="AB627" s="6"/>
      <c r="AC627" s="6"/>
      <c r="AD627" s="6"/>
      <c r="AE627" s="75"/>
      <c r="AF627" s="45"/>
    </row>
    <row r="628" spans="2:32" customFormat="1" x14ac:dyDescent="0.25">
      <c r="B628" s="127"/>
      <c r="D628" s="234"/>
      <c r="E628" s="234"/>
      <c r="V628" s="262"/>
      <c r="W628" s="254"/>
      <c r="X628" s="254"/>
      <c r="Y628" s="154"/>
      <c r="Z628" s="6"/>
      <c r="AA628" s="6"/>
      <c r="AB628" s="6"/>
      <c r="AC628" s="6"/>
      <c r="AD628" s="6"/>
      <c r="AE628" s="75"/>
      <c r="AF628" s="45"/>
    </row>
    <row r="629" spans="2:32" customFormat="1" x14ac:dyDescent="0.25">
      <c r="B629" s="127"/>
      <c r="D629" s="234"/>
      <c r="E629" s="234"/>
      <c r="V629" s="262"/>
      <c r="W629" s="254"/>
      <c r="X629" s="254"/>
      <c r="Y629" s="154"/>
      <c r="Z629" s="6"/>
      <c r="AA629" s="6"/>
      <c r="AB629" s="6"/>
      <c r="AC629" s="6"/>
      <c r="AD629" s="6"/>
      <c r="AE629" s="75"/>
      <c r="AF629" s="45"/>
    </row>
    <row r="630" spans="2:32" customFormat="1" x14ac:dyDescent="0.25">
      <c r="B630" s="127"/>
      <c r="D630" s="234"/>
      <c r="E630" s="234"/>
      <c r="V630" s="262"/>
      <c r="W630" s="254"/>
      <c r="X630" s="254"/>
      <c r="Y630" s="154"/>
      <c r="Z630" s="6"/>
      <c r="AA630" s="6"/>
      <c r="AB630" s="6"/>
      <c r="AC630" s="6"/>
      <c r="AD630" s="6"/>
      <c r="AE630" s="75"/>
      <c r="AF630" s="45"/>
    </row>
    <row r="631" spans="2:32" customFormat="1" x14ac:dyDescent="0.25">
      <c r="B631" s="127"/>
      <c r="D631" s="234"/>
      <c r="E631" s="234"/>
      <c r="V631" s="262"/>
      <c r="W631" s="254"/>
      <c r="X631" s="254"/>
      <c r="Y631" s="154"/>
      <c r="Z631" s="6"/>
      <c r="AA631" s="6"/>
      <c r="AB631" s="6"/>
      <c r="AC631" s="6"/>
      <c r="AD631" s="6"/>
      <c r="AE631" s="75"/>
      <c r="AF631" s="45"/>
    </row>
    <row r="632" spans="2:32" customFormat="1" x14ac:dyDescent="0.25">
      <c r="B632" s="127"/>
      <c r="D632" s="234"/>
      <c r="E632" s="234"/>
      <c r="V632" s="262"/>
      <c r="W632" s="254"/>
      <c r="X632" s="254"/>
      <c r="Y632" s="154"/>
      <c r="Z632" s="6"/>
      <c r="AA632" s="6"/>
      <c r="AB632" s="6"/>
      <c r="AC632" s="6"/>
      <c r="AD632" s="6"/>
      <c r="AE632" s="75"/>
      <c r="AF632" s="45"/>
    </row>
    <row r="633" spans="2:32" customFormat="1" x14ac:dyDescent="0.25">
      <c r="B633" s="127"/>
      <c r="D633" s="234"/>
      <c r="E633" s="234"/>
      <c r="V633" s="262"/>
      <c r="W633" s="254"/>
      <c r="X633" s="254"/>
      <c r="Y633" s="154"/>
      <c r="Z633" s="6"/>
      <c r="AA633" s="6"/>
      <c r="AB633" s="6"/>
      <c r="AC633" s="6"/>
      <c r="AD633" s="6"/>
      <c r="AE633" s="75"/>
      <c r="AF633" s="45"/>
    </row>
    <row r="634" spans="2:32" customFormat="1" x14ac:dyDescent="0.25">
      <c r="B634" s="127"/>
      <c r="D634" s="234"/>
      <c r="E634" s="234"/>
      <c r="V634" s="262"/>
      <c r="W634" s="254"/>
      <c r="X634" s="254"/>
      <c r="Y634" s="154"/>
      <c r="Z634" s="6"/>
      <c r="AA634" s="6"/>
      <c r="AB634" s="6"/>
      <c r="AC634" s="6"/>
      <c r="AD634" s="6"/>
      <c r="AE634" s="75"/>
      <c r="AF634" s="45"/>
    </row>
    <row r="635" spans="2:32" customFormat="1" x14ac:dyDescent="0.25">
      <c r="B635" s="127"/>
      <c r="D635" s="234"/>
      <c r="E635" s="234"/>
      <c r="V635" s="262"/>
      <c r="W635" s="254"/>
      <c r="X635" s="254"/>
      <c r="Y635" s="154"/>
      <c r="Z635" s="6"/>
      <c r="AA635" s="6"/>
      <c r="AB635" s="6"/>
      <c r="AC635" s="6"/>
      <c r="AD635" s="6"/>
      <c r="AE635" s="75"/>
      <c r="AF635" s="45"/>
    </row>
    <row r="636" spans="2:32" customFormat="1" x14ac:dyDescent="0.25">
      <c r="B636" s="127"/>
      <c r="D636" s="234"/>
      <c r="E636" s="234"/>
      <c r="V636" s="262"/>
      <c r="W636" s="254"/>
      <c r="X636" s="254"/>
      <c r="Y636" s="154"/>
      <c r="Z636" s="6"/>
      <c r="AA636" s="6"/>
      <c r="AB636" s="6"/>
      <c r="AC636" s="6"/>
      <c r="AD636" s="6"/>
      <c r="AE636" s="75"/>
      <c r="AF636" s="45"/>
    </row>
    <row r="637" spans="2:32" customFormat="1" x14ac:dyDescent="0.25">
      <c r="B637" s="127"/>
      <c r="D637" s="234"/>
      <c r="E637" s="234"/>
      <c r="V637" s="262"/>
      <c r="W637" s="254"/>
      <c r="X637" s="254"/>
      <c r="Y637" s="154"/>
      <c r="Z637" s="6"/>
      <c r="AA637" s="6"/>
      <c r="AB637" s="6"/>
      <c r="AC637" s="6"/>
      <c r="AD637" s="6"/>
      <c r="AE637" s="75"/>
      <c r="AF637" s="45"/>
    </row>
    <row r="638" spans="2:32" customFormat="1" x14ac:dyDescent="0.25">
      <c r="B638" s="127"/>
      <c r="D638" s="234"/>
      <c r="E638" s="234"/>
      <c r="V638" s="262"/>
      <c r="W638" s="254"/>
      <c r="X638" s="254"/>
      <c r="Y638" s="154"/>
      <c r="Z638" s="6"/>
      <c r="AA638" s="6"/>
      <c r="AB638" s="6"/>
      <c r="AC638" s="6"/>
      <c r="AD638" s="6"/>
      <c r="AE638" s="75"/>
      <c r="AF638" s="45"/>
    </row>
    <row r="639" spans="2:32" customFormat="1" x14ac:dyDescent="0.25">
      <c r="B639" s="127"/>
      <c r="D639" s="234"/>
      <c r="E639" s="234"/>
      <c r="V639" s="262"/>
      <c r="W639" s="254"/>
      <c r="X639" s="254"/>
      <c r="Y639" s="154"/>
      <c r="Z639" s="6"/>
      <c r="AA639" s="6"/>
      <c r="AB639" s="6"/>
      <c r="AC639" s="6"/>
      <c r="AD639" s="6"/>
      <c r="AE639" s="75"/>
      <c r="AF639" s="45"/>
    </row>
    <row r="640" spans="2:32" customFormat="1" x14ac:dyDescent="0.25">
      <c r="B640" s="127"/>
      <c r="D640" s="234"/>
      <c r="E640" s="234"/>
      <c r="V640" s="262"/>
      <c r="W640" s="254"/>
      <c r="X640" s="254"/>
      <c r="Y640" s="154"/>
      <c r="Z640" s="6"/>
      <c r="AA640" s="6"/>
      <c r="AB640" s="6"/>
      <c r="AC640" s="6"/>
      <c r="AD640" s="6"/>
      <c r="AE640" s="75"/>
      <c r="AF640" s="45"/>
    </row>
    <row r="641" spans="2:32" customFormat="1" x14ac:dyDescent="0.25">
      <c r="B641" s="127"/>
      <c r="D641" s="234"/>
      <c r="E641" s="234"/>
      <c r="V641" s="262"/>
      <c r="W641" s="254"/>
      <c r="X641" s="254"/>
      <c r="Y641" s="154"/>
      <c r="Z641" s="6"/>
      <c r="AA641" s="6"/>
      <c r="AB641" s="6"/>
      <c r="AC641" s="6"/>
      <c r="AD641" s="6"/>
      <c r="AE641" s="75"/>
      <c r="AF641" s="45"/>
    </row>
    <row r="642" spans="2:32" customFormat="1" x14ac:dyDescent="0.25">
      <c r="B642" s="127"/>
      <c r="D642" s="234"/>
      <c r="E642" s="234"/>
      <c r="V642" s="262"/>
      <c r="W642" s="254"/>
      <c r="X642" s="254"/>
      <c r="Y642" s="154"/>
      <c r="Z642" s="6"/>
      <c r="AA642" s="6"/>
      <c r="AB642" s="6"/>
      <c r="AC642" s="6"/>
      <c r="AD642" s="6"/>
      <c r="AE642" s="75"/>
      <c r="AF642" s="45"/>
    </row>
    <row r="643" spans="2:32" customFormat="1" x14ac:dyDescent="0.25">
      <c r="B643" s="127"/>
      <c r="D643" s="234"/>
      <c r="E643" s="234"/>
      <c r="V643" s="262"/>
      <c r="W643" s="254"/>
      <c r="X643" s="254"/>
      <c r="Y643" s="154"/>
      <c r="Z643" s="6"/>
      <c r="AA643" s="6"/>
      <c r="AB643" s="6"/>
      <c r="AC643" s="6"/>
      <c r="AD643" s="6"/>
      <c r="AE643" s="75"/>
      <c r="AF643" s="45"/>
    </row>
    <row r="644" spans="2:32" customFormat="1" x14ac:dyDescent="0.25">
      <c r="B644" s="127"/>
      <c r="D644" s="234"/>
      <c r="E644" s="234"/>
      <c r="V644" s="262"/>
      <c r="W644" s="254"/>
      <c r="X644" s="254"/>
      <c r="Y644" s="154"/>
      <c r="Z644" s="6"/>
      <c r="AA644" s="6"/>
      <c r="AB644" s="6"/>
      <c r="AC644" s="6"/>
      <c r="AD644" s="6"/>
      <c r="AE644" s="75"/>
      <c r="AF644" s="45"/>
    </row>
    <row r="645" spans="2:32" customFormat="1" x14ac:dyDescent="0.25">
      <c r="B645" s="127"/>
      <c r="D645" s="234"/>
      <c r="E645" s="234"/>
      <c r="V645" s="262"/>
      <c r="W645" s="254"/>
      <c r="X645" s="254"/>
      <c r="Y645" s="154"/>
      <c r="Z645" s="6"/>
      <c r="AA645" s="6"/>
      <c r="AB645" s="6"/>
      <c r="AC645" s="6"/>
      <c r="AD645" s="6"/>
      <c r="AE645" s="75"/>
      <c r="AF645" s="45"/>
    </row>
    <row r="646" spans="2:32" customFormat="1" x14ac:dyDescent="0.25">
      <c r="B646" s="127"/>
      <c r="D646" s="234"/>
      <c r="E646" s="234"/>
      <c r="V646" s="262"/>
      <c r="W646" s="254"/>
      <c r="X646" s="254"/>
      <c r="Y646" s="154"/>
      <c r="Z646" s="6"/>
      <c r="AA646" s="6"/>
      <c r="AB646" s="6"/>
      <c r="AC646" s="6"/>
      <c r="AD646" s="6"/>
      <c r="AE646" s="75"/>
      <c r="AF646" s="45"/>
    </row>
    <row r="647" spans="2:32" customFormat="1" x14ac:dyDescent="0.25">
      <c r="B647" s="127"/>
      <c r="D647" s="234"/>
      <c r="E647" s="234"/>
      <c r="V647" s="262"/>
      <c r="W647" s="254"/>
      <c r="X647" s="254"/>
      <c r="Y647" s="154"/>
      <c r="Z647" s="6"/>
      <c r="AA647" s="6"/>
      <c r="AB647" s="6"/>
      <c r="AC647" s="6"/>
      <c r="AD647" s="6"/>
      <c r="AE647" s="75"/>
      <c r="AF647" s="45"/>
    </row>
    <row r="648" spans="2:32" customFormat="1" x14ac:dyDescent="0.25">
      <c r="B648" s="127"/>
      <c r="D648" s="234"/>
      <c r="E648" s="234"/>
      <c r="V648" s="262"/>
      <c r="W648" s="254"/>
      <c r="X648" s="254"/>
      <c r="Y648" s="154"/>
      <c r="Z648" s="6"/>
      <c r="AA648" s="6"/>
      <c r="AB648" s="6"/>
      <c r="AC648" s="6"/>
      <c r="AD648" s="6"/>
      <c r="AE648" s="75"/>
      <c r="AF648" s="45"/>
    </row>
    <row r="649" spans="2:32" customFormat="1" x14ac:dyDescent="0.25">
      <c r="B649" s="127"/>
      <c r="D649" s="234"/>
      <c r="E649" s="234"/>
      <c r="V649" s="262"/>
      <c r="W649" s="254"/>
      <c r="X649" s="254"/>
      <c r="Y649" s="154"/>
      <c r="Z649" s="6"/>
      <c r="AA649" s="6"/>
      <c r="AB649" s="6"/>
      <c r="AC649" s="6"/>
      <c r="AD649" s="6"/>
      <c r="AE649" s="75"/>
      <c r="AF649" s="45"/>
    </row>
    <row r="650" spans="2:32" customFormat="1" x14ac:dyDescent="0.25">
      <c r="B650" s="127"/>
      <c r="D650" s="234"/>
      <c r="E650" s="234"/>
      <c r="V650" s="262"/>
      <c r="W650" s="254"/>
      <c r="X650" s="254"/>
      <c r="Y650" s="154"/>
      <c r="Z650" s="6"/>
      <c r="AA650" s="6"/>
      <c r="AB650" s="6"/>
      <c r="AC650" s="6"/>
      <c r="AD650" s="6"/>
      <c r="AE650" s="75"/>
      <c r="AF650" s="45"/>
    </row>
    <row r="651" spans="2:32" customFormat="1" x14ac:dyDescent="0.25">
      <c r="B651" s="127"/>
      <c r="D651" s="234"/>
      <c r="E651" s="234"/>
      <c r="V651" s="262"/>
      <c r="W651" s="254"/>
      <c r="X651" s="254"/>
      <c r="Y651" s="154"/>
      <c r="Z651" s="6"/>
      <c r="AA651" s="6"/>
      <c r="AB651" s="6"/>
      <c r="AC651" s="6"/>
      <c r="AD651" s="6"/>
      <c r="AE651" s="75"/>
      <c r="AF651" s="45"/>
    </row>
    <row r="652" spans="2:32" customFormat="1" x14ac:dyDescent="0.25">
      <c r="B652" s="127"/>
      <c r="D652" s="234"/>
      <c r="E652" s="234"/>
      <c r="V652" s="262"/>
      <c r="W652" s="254"/>
      <c r="X652" s="254"/>
      <c r="Y652" s="154"/>
      <c r="Z652" s="6"/>
      <c r="AA652" s="6"/>
      <c r="AB652" s="6"/>
      <c r="AC652" s="6"/>
      <c r="AD652" s="6"/>
      <c r="AE652" s="75"/>
      <c r="AF652" s="45"/>
    </row>
    <row r="653" spans="2:32" customFormat="1" x14ac:dyDescent="0.25">
      <c r="B653" s="127"/>
      <c r="D653" s="234"/>
      <c r="E653" s="234"/>
      <c r="V653" s="262"/>
      <c r="W653" s="254"/>
      <c r="X653" s="254"/>
      <c r="Y653" s="154"/>
      <c r="Z653" s="6"/>
      <c r="AA653" s="6"/>
      <c r="AB653" s="6"/>
      <c r="AC653" s="6"/>
      <c r="AD653" s="6"/>
      <c r="AE653" s="75"/>
      <c r="AF653" s="45"/>
    </row>
    <row r="654" spans="2:32" customFormat="1" x14ac:dyDescent="0.25">
      <c r="B654" s="127"/>
      <c r="D654" s="234"/>
      <c r="E654" s="234"/>
      <c r="V654" s="262"/>
      <c r="W654" s="254"/>
      <c r="X654" s="254"/>
      <c r="Y654" s="154"/>
      <c r="Z654" s="6"/>
      <c r="AA654" s="6"/>
      <c r="AB654" s="6"/>
      <c r="AC654" s="6"/>
      <c r="AD654" s="6"/>
      <c r="AE654" s="75"/>
      <c r="AF654" s="45"/>
    </row>
    <row r="655" spans="2:32" customFormat="1" x14ac:dyDescent="0.25">
      <c r="B655" s="127"/>
      <c r="D655" s="234"/>
      <c r="E655" s="234"/>
      <c r="V655" s="262"/>
      <c r="W655" s="254"/>
      <c r="X655" s="254"/>
      <c r="Y655" s="154"/>
      <c r="Z655" s="6"/>
      <c r="AA655" s="6"/>
      <c r="AB655" s="6"/>
      <c r="AC655" s="6"/>
      <c r="AD655" s="6"/>
      <c r="AE655" s="75"/>
      <c r="AF655" s="45"/>
    </row>
    <row r="656" spans="2:32" customFormat="1" x14ac:dyDescent="0.25">
      <c r="B656" s="127"/>
      <c r="D656" s="234"/>
      <c r="E656" s="234"/>
      <c r="V656" s="262"/>
      <c r="W656" s="254"/>
      <c r="X656" s="254"/>
      <c r="Y656" s="154"/>
      <c r="Z656" s="6"/>
      <c r="AA656" s="6"/>
      <c r="AB656" s="6"/>
      <c r="AC656" s="6"/>
      <c r="AD656" s="6"/>
      <c r="AE656" s="75"/>
      <c r="AF656" s="45"/>
    </row>
    <row r="657" spans="2:32" customFormat="1" x14ac:dyDescent="0.25">
      <c r="B657" s="127"/>
      <c r="D657" s="234"/>
      <c r="E657" s="234"/>
      <c r="V657" s="262"/>
      <c r="W657" s="254"/>
      <c r="X657" s="254"/>
      <c r="Y657" s="154"/>
      <c r="Z657" s="6"/>
      <c r="AA657" s="6"/>
      <c r="AB657" s="6"/>
      <c r="AC657" s="6"/>
      <c r="AD657" s="6"/>
      <c r="AE657" s="75"/>
      <c r="AF657" s="45"/>
    </row>
    <row r="658" spans="2:32" customFormat="1" x14ac:dyDescent="0.25">
      <c r="B658" s="127"/>
      <c r="D658" s="234"/>
      <c r="E658" s="234"/>
      <c r="V658" s="262"/>
      <c r="W658" s="254"/>
      <c r="X658" s="254"/>
      <c r="Y658" s="154"/>
      <c r="Z658" s="6"/>
      <c r="AA658" s="6"/>
      <c r="AB658" s="6"/>
      <c r="AC658" s="6"/>
      <c r="AD658" s="6"/>
      <c r="AE658" s="75"/>
      <c r="AF658" s="45"/>
    </row>
    <row r="659" spans="2:32" customFormat="1" x14ac:dyDescent="0.25">
      <c r="B659" s="127"/>
      <c r="D659" s="234"/>
      <c r="E659" s="234"/>
      <c r="V659" s="262"/>
      <c r="W659" s="254"/>
      <c r="X659" s="254"/>
      <c r="Y659" s="154"/>
      <c r="Z659" s="6"/>
      <c r="AA659" s="6"/>
      <c r="AB659" s="6"/>
      <c r="AC659" s="6"/>
      <c r="AD659" s="6"/>
      <c r="AE659" s="75"/>
      <c r="AF659" s="45"/>
    </row>
    <row r="660" spans="2:32" customFormat="1" x14ac:dyDescent="0.25">
      <c r="B660" s="127"/>
      <c r="D660" s="234"/>
      <c r="E660" s="234"/>
      <c r="V660" s="262"/>
      <c r="W660" s="254"/>
      <c r="X660" s="254"/>
      <c r="Y660" s="154"/>
      <c r="Z660" s="6"/>
      <c r="AA660" s="6"/>
      <c r="AB660" s="6"/>
      <c r="AC660" s="6"/>
      <c r="AD660" s="6"/>
      <c r="AE660" s="75"/>
      <c r="AF660" s="45"/>
    </row>
    <row r="661" spans="2:32" customFormat="1" x14ac:dyDescent="0.25">
      <c r="B661" s="127"/>
      <c r="D661" s="234"/>
      <c r="E661" s="234"/>
      <c r="V661" s="262"/>
      <c r="W661" s="254"/>
      <c r="X661" s="254"/>
      <c r="Y661" s="154"/>
      <c r="Z661" s="6"/>
      <c r="AA661" s="6"/>
      <c r="AB661" s="6"/>
      <c r="AC661" s="6"/>
      <c r="AD661" s="6"/>
      <c r="AE661" s="75"/>
      <c r="AF661" s="45"/>
    </row>
    <row r="662" spans="2:32" customFormat="1" x14ac:dyDescent="0.25">
      <c r="B662" s="127"/>
      <c r="D662" s="234"/>
      <c r="E662" s="234"/>
      <c r="V662" s="262"/>
      <c r="W662" s="254"/>
      <c r="X662" s="254"/>
      <c r="Y662" s="154"/>
      <c r="Z662" s="6"/>
      <c r="AA662" s="6"/>
      <c r="AB662" s="6"/>
      <c r="AC662" s="6"/>
      <c r="AD662" s="6"/>
      <c r="AE662" s="75"/>
      <c r="AF662" s="45"/>
    </row>
    <row r="663" spans="2:32" customFormat="1" x14ac:dyDescent="0.25">
      <c r="B663" s="127"/>
      <c r="D663" s="234"/>
      <c r="E663" s="234"/>
      <c r="V663" s="262"/>
      <c r="W663" s="254"/>
      <c r="X663" s="254"/>
      <c r="Y663" s="154"/>
      <c r="Z663" s="6"/>
      <c r="AA663" s="6"/>
      <c r="AB663" s="6"/>
      <c r="AC663" s="6"/>
      <c r="AD663" s="6"/>
      <c r="AE663" s="75"/>
      <c r="AF663" s="45"/>
    </row>
    <row r="664" spans="2:32" customFormat="1" x14ac:dyDescent="0.25">
      <c r="B664" s="127"/>
      <c r="D664" s="234"/>
      <c r="E664" s="234"/>
      <c r="V664" s="262"/>
      <c r="W664" s="254"/>
      <c r="X664" s="254"/>
      <c r="Y664" s="154"/>
      <c r="Z664" s="6"/>
      <c r="AA664" s="6"/>
      <c r="AB664" s="6"/>
      <c r="AC664" s="6"/>
      <c r="AD664" s="6"/>
      <c r="AE664" s="75"/>
      <c r="AF664" s="45"/>
    </row>
    <row r="665" spans="2:32" customFormat="1" x14ac:dyDescent="0.25">
      <c r="B665" s="127"/>
      <c r="D665" s="234"/>
      <c r="E665" s="234"/>
      <c r="V665" s="262"/>
      <c r="W665" s="254"/>
      <c r="X665" s="254"/>
      <c r="Y665" s="154"/>
      <c r="Z665" s="6"/>
      <c r="AA665" s="6"/>
      <c r="AB665" s="6"/>
      <c r="AC665" s="6"/>
      <c r="AD665" s="6"/>
      <c r="AE665" s="75"/>
      <c r="AF665" s="45"/>
    </row>
    <row r="666" spans="2:32" customFormat="1" x14ac:dyDescent="0.25">
      <c r="B666" s="127"/>
      <c r="D666" s="234"/>
      <c r="E666" s="234"/>
      <c r="V666" s="262"/>
      <c r="W666" s="254"/>
      <c r="X666" s="254"/>
      <c r="Y666" s="154"/>
      <c r="Z666" s="6"/>
      <c r="AA666" s="6"/>
      <c r="AB666" s="6"/>
      <c r="AC666" s="6"/>
      <c r="AD666" s="6"/>
      <c r="AE666" s="75"/>
      <c r="AF666" s="45"/>
    </row>
    <row r="667" spans="2:32" customFormat="1" x14ac:dyDescent="0.25">
      <c r="B667" s="127"/>
      <c r="D667" s="234"/>
      <c r="E667" s="234"/>
      <c r="V667" s="262"/>
      <c r="W667" s="254"/>
      <c r="X667" s="254"/>
      <c r="Y667" s="154"/>
      <c r="Z667" s="6"/>
      <c r="AA667" s="6"/>
      <c r="AB667" s="6"/>
      <c r="AC667" s="6"/>
      <c r="AD667" s="6"/>
      <c r="AE667" s="75"/>
      <c r="AF667" s="45"/>
    </row>
    <row r="668" spans="2:32" customFormat="1" x14ac:dyDescent="0.25">
      <c r="B668" s="127"/>
      <c r="D668" s="234"/>
      <c r="E668" s="234"/>
      <c r="V668" s="262"/>
      <c r="W668" s="254"/>
      <c r="X668" s="254"/>
      <c r="Y668" s="154"/>
      <c r="Z668" s="6"/>
      <c r="AA668" s="6"/>
      <c r="AB668" s="6"/>
      <c r="AC668" s="6"/>
      <c r="AD668" s="6"/>
      <c r="AE668" s="75"/>
      <c r="AF668" s="45"/>
    </row>
    <row r="669" spans="2:32" customFormat="1" x14ac:dyDescent="0.25">
      <c r="B669" s="127"/>
      <c r="D669" s="234"/>
      <c r="E669" s="234"/>
      <c r="V669" s="262"/>
      <c r="W669" s="254"/>
      <c r="X669" s="254"/>
      <c r="Y669" s="154"/>
      <c r="Z669" s="6"/>
      <c r="AA669" s="6"/>
      <c r="AB669" s="6"/>
      <c r="AC669" s="6"/>
      <c r="AD669" s="6"/>
      <c r="AE669" s="75"/>
      <c r="AF669" s="45"/>
    </row>
    <row r="670" spans="2:32" customFormat="1" x14ac:dyDescent="0.25">
      <c r="B670" s="127"/>
      <c r="D670" s="234"/>
      <c r="E670" s="234"/>
      <c r="V670" s="262"/>
      <c r="W670" s="254"/>
      <c r="X670" s="254"/>
      <c r="Y670" s="154"/>
      <c r="Z670" s="6"/>
      <c r="AA670" s="6"/>
      <c r="AB670" s="6"/>
      <c r="AC670" s="6"/>
      <c r="AD670" s="6"/>
      <c r="AE670" s="75"/>
      <c r="AF670" s="45"/>
    </row>
    <row r="671" spans="2:32" customFormat="1" x14ac:dyDescent="0.25">
      <c r="B671" s="127"/>
      <c r="D671" s="234"/>
      <c r="E671" s="234"/>
      <c r="V671" s="262"/>
      <c r="W671" s="254"/>
      <c r="X671" s="254"/>
      <c r="Y671" s="154"/>
      <c r="Z671" s="6"/>
      <c r="AA671" s="6"/>
      <c r="AB671" s="6"/>
      <c r="AC671" s="6"/>
      <c r="AD671" s="6"/>
      <c r="AE671" s="75"/>
      <c r="AF671" s="45"/>
    </row>
    <row r="672" spans="2:32" customFormat="1" x14ac:dyDescent="0.25">
      <c r="B672" s="127"/>
      <c r="D672" s="234"/>
      <c r="E672" s="234"/>
      <c r="V672" s="262"/>
      <c r="W672" s="254"/>
      <c r="X672" s="254"/>
      <c r="Y672" s="154"/>
      <c r="Z672" s="6"/>
      <c r="AA672" s="6"/>
      <c r="AB672" s="6"/>
      <c r="AC672" s="6"/>
      <c r="AD672" s="6"/>
      <c r="AE672" s="75"/>
      <c r="AF672" s="45"/>
    </row>
    <row r="673" spans="2:32" customFormat="1" x14ac:dyDescent="0.25">
      <c r="B673" s="127"/>
      <c r="D673" s="234"/>
      <c r="E673" s="234"/>
      <c r="V673" s="262"/>
      <c r="W673" s="254"/>
      <c r="X673" s="254"/>
      <c r="Y673" s="154"/>
      <c r="Z673" s="6"/>
      <c r="AA673" s="6"/>
      <c r="AB673" s="6"/>
      <c r="AC673" s="6"/>
      <c r="AD673" s="6"/>
      <c r="AE673" s="75"/>
      <c r="AF673" s="45"/>
    </row>
    <row r="674" spans="2:32" customFormat="1" x14ac:dyDescent="0.25">
      <c r="B674" s="127"/>
      <c r="D674" s="234"/>
      <c r="E674" s="234"/>
      <c r="V674" s="262"/>
      <c r="W674" s="254"/>
      <c r="X674" s="254"/>
      <c r="Y674" s="154"/>
      <c r="Z674" s="6"/>
      <c r="AA674" s="6"/>
      <c r="AB674" s="6"/>
      <c r="AC674" s="6"/>
      <c r="AD674" s="6"/>
      <c r="AE674" s="75"/>
      <c r="AF674" s="45"/>
    </row>
    <row r="675" spans="2:32" customFormat="1" x14ac:dyDescent="0.25">
      <c r="B675" s="127"/>
      <c r="D675" s="234"/>
      <c r="E675" s="234"/>
      <c r="V675" s="262"/>
      <c r="W675" s="254"/>
      <c r="X675" s="254"/>
      <c r="Y675" s="154"/>
      <c r="Z675" s="6"/>
      <c r="AA675" s="6"/>
      <c r="AB675" s="6"/>
      <c r="AC675" s="6"/>
      <c r="AD675" s="6"/>
      <c r="AE675" s="75"/>
      <c r="AF675" s="45"/>
    </row>
    <row r="676" spans="2:32" customFormat="1" x14ac:dyDescent="0.25">
      <c r="B676" s="127"/>
      <c r="D676" s="234"/>
      <c r="E676" s="234"/>
      <c r="V676" s="262"/>
      <c r="W676" s="254"/>
      <c r="X676" s="254"/>
      <c r="Y676" s="154"/>
      <c r="Z676" s="6"/>
      <c r="AA676" s="6"/>
      <c r="AB676" s="6"/>
      <c r="AC676" s="6"/>
      <c r="AD676" s="6"/>
      <c r="AE676" s="75"/>
      <c r="AF676" s="45"/>
    </row>
    <row r="677" spans="2:32" customFormat="1" x14ac:dyDescent="0.25">
      <c r="B677" s="127"/>
      <c r="D677" s="234"/>
      <c r="E677" s="234"/>
      <c r="V677" s="262"/>
      <c r="W677" s="254"/>
      <c r="X677" s="254"/>
      <c r="Y677" s="154"/>
      <c r="Z677" s="6"/>
      <c r="AA677" s="6"/>
      <c r="AB677" s="6"/>
      <c r="AC677" s="6"/>
      <c r="AD677" s="6"/>
      <c r="AE677" s="75"/>
      <c r="AF677" s="45"/>
    </row>
    <row r="678" spans="2:32" customFormat="1" x14ac:dyDescent="0.25">
      <c r="B678" s="127"/>
      <c r="D678" s="234"/>
      <c r="E678" s="234"/>
      <c r="V678" s="262"/>
      <c r="W678" s="254"/>
      <c r="X678" s="254"/>
      <c r="Y678" s="154"/>
      <c r="Z678" s="6"/>
      <c r="AA678" s="6"/>
      <c r="AB678" s="6"/>
      <c r="AC678" s="6"/>
      <c r="AD678" s="6"/>
      <c r="AE678" s="75"/>
      <c r="AF678" s="45"/>
    </row>
    <row r="679" spans="2:32" customFormat="1" x14ac:dyDescent="0.25">
      <c r="B679" s="127"/>
      <c r="D679" s="234"/>
      <c r="E679" s="234"/>
      <c r="V679" s="262"/>
      <c r="W679" s="254"/>
      <c r="X679" s="254"/>
      <c r="Y679" s="154"/>
      <c r="Z679" s="6"/>
      <c r="AA679" s="6"/>
      <c r="AB679" s="6"/>
      <c r="AC679" s="6"/>
      <c r="AD679" s="6"/>
      <c r="AE679" s="75"/>
      <c r="AF679" s="45"/>
    </row>
    <row r="680" spans="2:32" customFormat="1" x14ac:dyDescent="0.25">
      <c r="B680" s="127"/>
      <c r="D680" s="234"/>
      <c r="E680" s="234"/>
      <c r="V680" s="262"/>
      <c r="W680" s="254"/>
      <c r="X680" s="254"/>
      <c r="Y680" s="154"/>
      <c r="Z680" s="6"/>
      <c r="AA680" s="6"/>
      <c r="AB680" s="6"/>
      <c r="AC680" s="6"/>
      <c r="AD680" s="6"/>
      <c r="AE680" s="75"/>
      <c r="AF680" s="45"/>
    </row>
    <row r="681" spans="2:32" customFormat="1" x14ac:dyDescent="0.25">
      <c r="B681" s="127"/>
      <c r="D681" s="234"/>
      <c r="E681" s="234"/>
      <c r="V681" s="262"/>
      <c r="W681" s="254"/>
      <c r="X681" s="254"/>
      <c r="Y681" s="154"/>
      <c r="Z681" s="6"/>
      <c r="AA681" s="6"/>
      <c r="AB681" s="6"/>
      <c r="AC681" s="6"/>
      <c r="AD681" s="6"/>
      <c r="AE681" s="75"/>
      <c r="AF681" s="45"/>
    </row>
    <row r="682" spans="2:32" customFormat="1" x14ac:dyDescent="0.25">
      <c r="B682" s="127"/>
      <c r="D682" s="234"/>
      <c r="E682" s="234"/>
      <c r="V682" s="262"/>
      <c r="W682" s="254"/>
      <c r="X682" s="254"/>
      <c r="Y682" s="154"/>
      <c r="Z682" s="6"/>
      <c r="AA682" s="6"/>
      <c r="AB682" s="6"/>
      <c r="AC682" s="6"/>
      <c r="AD682" s="6"/>
      <c r="AE682" s="75"/>
      <c r="AF682" s="45"/>
    </row>
    <row r="683" spans="2:32" customFormat="1" x14ac:dyDescent="0.25">
      <c r="B683" s="127"/>
      <c r="D683" s="234"/>
      <c r="E683" s="234"/>
      <c r="V683" s="262"/>
      <c r="W683" s="254"/>
      <c r="X683" s="254"/>
      <c r="Y683" s="154"/>
      <c r="Z683" s="6"/>
      <c r="AA683" s="6"/>
      <c r="AB683" s="6"/>
      <c r="AC683" s="6"/>
      <c r="AD683" s="6"/>
      <c r="AE683" s="75"/>
      <c r="AF683" s="45"/>
    </row>
    <row r="684" spans="2:32" customFormat="1" x14ac:dyDescent="0.25">
      <c r="B684" s="127"/>
      <c r="D684" s="234"/>
      <c r="E684" s="234"/>
      <c r="V684" s="262"/>
      <c r="W684" s="254"/>
      <c r="X684" s="254"/>
      <c r="Y684" s="154"/>
      <c r="Z684" s="6"/>
      <c r="AA684" s="6"/>
      <c r="AB684" s="6"/>
      <c r="AC684" s="6"/>
      <c r="AD684" s="6"/>
      <c r="AE684" s="75"/>
      <c r="AF684" s="45"/>
    </row>
    <row r="685" spans="2:32" customFormat="1" x14ac:dyDescent="0.25">
      <c r="B685" s="127"/>
      <c r="D685" s="234"/>
      <c r="E685" s="234"/>
      <c r="V685" s="262"/>
      <c r="W685" s="254"/>
      <c r="X685" s="254"/>
      <c r="Y685" s="154"/>
      <c r="Z685" s="6"/>
      <c r="AA685" s="6"/>
      <c r="AB685" s="6"/>
      <c r="AC685" s="6"/>
      <c r="AD685" s="6"/>
      <c r="AE685" s="75"/>
      <c r="AF685" s="45"/>
    </row>
    <row r="686" spans="2:32" customFormat="1" x14ac:dyDescent="0.25">
      <c r="B686" s="127"/>
      <c r="D686" s="234"/>
      <c r="E686" s="234"/>
      <c r="V686" s="262"/>
      <c r="W686" s="254"/>
      <c r="X686" s="254"/>
      <c r="Y686" s="154"/>
      <c r="Z686" s="6"/>
      <c r="AA686" s="6"/>
      <c r="AB686" s="6"/>
      <c r="AC686" s="6"/>
      <c r="AD686" s="6"/>
      <c r="AE686" s="75"/>
      <c r="AF686" s="45"/>
    </row>
    <row r="687" spans="2:32" customFormat="1" x14ac:dyDescent="0.25">
      <c r="B687" s="127"/>
      <c r="D687" s="234"/>
      <c r="E687" s="234"/>
      <c r="V687" s="262"/>
      <c r="W687" s="254"/>
      <c r="X687" s="254"/>
      <c r="Y687" s="154"/>
      <c r="Z687" s="6"/>
      <c r="AA687" s="6"/>
      <c r="AB687" s="6"/>
      <c r="AC687" s="6"/>
      <c r="AD687" s="6"/>
      <c r="AE687" s="75"/>
      <c r="AF687" s="45"/>
    </row>
    <row r="688" spans="2:32" customFormat="1" x14ac:dyDescent="0.25">
      <c r="B688" s="127"/>
      <c r="D688" s="234"/>
      <c r="E688" s="234"/>
      <c r="V688" s="262"/>
      <c r="W688" s="254"/>
      <c r="X688" s="254"/>
      <c r="Y688" s="154"/>
      <c r="Z688" s="6"/>
      <c r="AA688" s="6"/>
      <c r="AB688" s="6"/>
      <c r="AC688" s="6"/>
      <c r="AD688" s="6"/>
      <c r="AE688" s="75"/>
      <c r="AF688" s="45"/>
    </row>
    <row r="689" spans="2:32" customFormat="1" x14ac:dyDescent="0.25">
      <c r="B689" s="127"/>
      <c r="D689" s="234"/>
      <c r="E689" s="234"/>
      <c r="V689" s="262"/>
      <c r="W689" s="254"/>
      <c r="X689" s="254"/>
      <c r="Y689" s="154"/>
      <c r="Z689" s="6"/>
      <c r="AA689" s="6"/>
      <c r="AB689" s="6"/>
      <c r="AC689" s="6"/>
      <c r="AD689" s="6"/>
      <c r="AE689" s="75"/>
      <c r="AF689" s="45"/>
    </row>
    <row r="690" spans="2:32" customFormat="1" x14ac:dyDescent="0.25">
      <c r="B690" s="127"/>
      <c r="D690" s="234"/>
      <c r="E690" s="234"/>
      <c r="V690" s="262"/>
      <c r="W690" s="254"/>
      <c r="X690" s="254"/>
      <c r="Y690" s="154"/>
      <c r="Z690" s="6"/>
      <c r="AA690" s="6"/>
      <c r="AB690" s="6"/>
      <c r="AC690" s="6"/>
      <c r="AD690" s="6"/>
      <c r="AE690" s="75"/>
      <c r="AF690" s="45"/>
    </row>
    <row r="691" spans="2:32" customFormat="1" x14ac:dyDescent="0.25">
      <c r="B691" s="127"/>
      <c r="D691" s="234"/>
      <c r="E691" s="234"/>
      <c r="V691" s="262"/>
      <c r="W691" s="254"/>
      <c r="X691" s="254"/>
      <c r="Y691" s="154"/>
      <c r="Z691" s="6"/>
      <c r="AA691" s="6"/>
      <c r="AB691" s="6"/>
      <c r="AC691" s="6"/>
      <c r="AD691" s="6"/>
      <c r="AE691" s="75"/>
      <c r="AF691" s="45"/>
    </row>
    <row r="692" spans="2:32" customFormat="1" x14ac:dyDescent="0.25">
      <c r="B692" s="127"/>
      <c r="D692" s="234"/>
      <c r="E692" s="234"/>
      <c r="V692" s="262"/>
      <c r="W692" s="254"/>
      <c r="X692" s="254"/>
      <c r="Y692" s="154"/>
      <c r="Z692" s="6"/>
      <c r="AA692" s="6"/>
      <c r="AB692" s="6"/>
      <c r="AC692" s="6"/>
      <c r="AD692" s="6"/>
      <c r="AE692" s="75"/>
      <c r="AF692" s="45"/>
    </row>
    <row r="693" spans="2:32" customFormat="1" x14ac:dyDescent="0.25">
      <c r="B693" s="127"/>
      <c r="D693" s="234"/>
      <c r="E693" s="234"/>
      <c r="V693" s="262"/>
      <c r="W693" s="254"/>
      <c r="X693" s="254"/>
      <c r="Y693" s="154"/>
      <c r="Z693" s="6"/>
      <c r="AA693" s="6"/>
      <c r="AB693" s="6"/>
      <c r="AC693" s="6"/>
      <c r="AD693" s="6"/>
      <c r="AE693" s="75"/>
      <c r="AF693" s="45"/>
    </row>
    <row r="694" spans="2:32" customFormat="1" x14ac:dyDescent="0.25">
      <c r="B694" s="127"/>
      <c r="D694" s="234"/>
      <c r="E694" s="234"/>
      <c r="V694" s="262"/>
      <c r="W694" s="254"/>
      <c r="X694" s="254"/>
      <c r="Y694" s="154"/>
      <c r="Z694" s="6"/>
      <c r="AA694" s="6"/>
      <c r="AB694" s="6"/>
      <c r="AC694" s="6"/>
      <c r="AD694" s="6"/>
      <c r="AE694" s="75"/>
      <c r="AF694" s="45"/>
    </row>
    <row r="695" spans="2:32" customFormat="1" x14ac:dyDescent="0.25">
      <c r="B695" s="127"/>
      <c r="D695" s="234"/>
      <c r="E695" s="234"/>
      <c r="V695" s="262"/>
      <c r="W695" s="254"/>
      <c r="X695" s="254"/>
      <c r="Y695" s="154"/>
      <c r="Z695" s="6"/>
      <c r="AA695" s="6"/>
      <c r="AB695" s="6"/>
      <c r="AC695" s="6"/>
      <c r="AD695" s="6"/>
      <c r="AE695" s="75"/>
      <c r="AF695" s="45"/>
    </row>
    <row r="696" spans="2:32" customFormat="1" x14ac:dyDescent="0.25">
      <c r="B696" s="127"/>
      <c r="D696" s="234"/>
      <c r="E696" s="234"/>
      <c r="V696" s="262"/>
      <c r="W696" s="254"/>
      <c r="X696" s="254"/>
      <c r="Y696" s="154"/>
      <c r="Z696" s="6"/>
      <c r="AA696" s="6"/>
      <c r="AB696" s="6"/>
      <c r="AC696" s="6"/>
      <c r="AD696" s="6"/>
      <c r="AE696" s="75"/>
      <c r="AF696" s="45"/>
    </row>
    <row r="697" spans="2:32" customFormat="1" x14ac:dyDescent="0.25">
      <c r="B697" s="127"/>
      <c r="D697" s="234"/>
      <c r="E697" s="234"/>
      <c r="V697" s="262"/>
      <c r="W697" s="254"/>
      <c r="X697" s="254"/>
      <c r="Y697" s="154"/>
      <c r="Z697" s="6"/>
      <c r="AA697" s="6"/>
      <c r="AB697" s="6"/>
      <c r="AC697" s="6"/>
      <c r="AD697" s="6"/>
      <c r="AE697" s="75"/>
      <c r="AF697" s="45"/>
    </row>
    <row r="698" spans="2:32" customFormat="1" x14ac:dyDescent="0.25">
      <c r="B698" s="127"/>
      <c r="D698" s="234"/>
      <c r="E698" s="234"/>
      <c r="V698" s="262"/>
      <c r="W698" s="254"/>
      <c r="X698" s="254"/>
      <c r="Y698" s="154"/>
      <c r="Z698" s="6"/>
      <c r="AA698" s="6"/>
      <c r="AB698" s="6"/>
      <c r="AC698" s="6"/>
      <c r="AD698" s="6"/>
      <c r="AE698" s="75"/>
      <c r="AF698" s="45"/>
    </row>
    <row r="699" spans="2:32" customFormat="1" x14ac:dyDescent="0.25">
      <c r="B699" s="127"/>
      <c r="D699" s="234"/>
      <c r="E699" s="234"/>
      <c r="V699" s="262"/>
      <c r="W699" s="254"/>
      <c r="X699" s="254"/>
      <c r="Y699" s="154"/>
      <c r="Z699" s="6"/>
      <c r="AA699" s="6"/>
      <c r="AB699" s="6"/>
      <c r="AC699" s="6"/>
      <c r="AD699" s="6"/>
      <c r="AE699" s="75"/>
      <c r="AF699" s="45"/>
    </row>
    <row r="700" spans="2:32" customFormat="1" x14ac:dyDescent="0.25">
      <c r="B700" s="127"/>
      <c r="D700" s="234"/>
      <c r="E700" s="234"/>
      <c r="V700" s="262"/>
      <c r="W700" s="254"/>
      <c r="X700" s="254"/>
      <c r="Y700" s="154"/>
      <c r="Z700" s="6"/>
      <c r="AA700" s="6"/>
      <c r="AB700" s="6"/>
      <c r="AC700" s="6"/>
      <c r="AD700" s="6"/>
      <c r="AE700" s="75"/>
      <c r="AF700" s="45"/>
    </row>
    <row r="701" spans="2:32" customFormat="1" x14ac:dyDescent="0.25">
      <c r="B701" s="127"/>
      <c r="D701" s="234"/>
      <c r="E701" s="234"/>
      <c r="V701" s="262"/>
      <c r="W701" s="254"/>
      <c r="X701" s="254"/>
      <c r="Y701" s="154"/>
      <c r="Z701" s="6"/>
      <c r="AA701" s="6"/>
      <c r="AB701" s="6"/>
      <c r="AC701" s="6"/>
      <c r="AD701" s="6"/>
      <c r="AE701" s="75"/>
      <c r="AF701" s="45"/>
    </row>
    <row r="702" spans="2:32" customFormat="1" x14ac:dyDescent="0.25">
      <c r="B702" s="127"/>
      <c r="D702" s="234"/>
      <c r="E702" s="234"/>
      <c r="V702" s="262"/>
      <c r="W702" s="254"/>
      <c r="X702" s="254"/>
      <c r="Y702" s="154"/>
      <c r="Z702" s="6"/>
      <c r="AA702" s="6"/>
      <c r="AB702" s="6"/>
      <c r="AC702" s="6"/>
      <c r="AD702" s="6"/>
      <c r="AE702" s="75"/>
      <c r="AF702" s="45"/>
    </row>
    <row r="703" spans="2:32" customFormat="1" x14ac:dyDescent="0.25">
      <c r="B703" s="127"/>
      <c r="D703" s="234"/>
      <c r="E703" s="234"/>
      <c r="V703" s="262"/>
      <c r="W703" s="254"/>
      <c r="X703" s="254"/>
      <c r="Y703" s="154"/>
      <c r="Z703" s="6"/>
      <c r="AA703" s="6"/>
      <c r="AB703" s="6"/>
      <c r="AC703" s="6"/>
      <c r="AD703" s="6"/>
      <c r="AE703" s="75"/>
      <c r="AF703" s="45"/>
    </row>
    <row r="704" spans="2:32" customFormat="1" x14ac:dyDescent="0.25">
      <c r="B704" s="127"/>
      <c r="D704" s="234"/>
      <c r="E704" s="234"/>
      <c r="V704" s="262"/>
      <c r="W704" s="254"/>
      <c r="X704" s="254"/>
      <c r="Y704" s="154"/>
      <c r="Z704" s="6"/>
      <c r="AA704" s="6"/>
      <c r="AB704" s="6"/>
      <c r="AC704" s="6"/>
      <c r="AD704" s="6"/>
      <c r="AE704" s="75"/>
      <c r="AF704" s="45"/>
    </row>
    <row r="705" spans="2:32" customFormat="1" x14ac:dyDescent="0.25">
      <c r="B705" s="127"/>
      <c r="D705" s="234"/>
      <c r="E705" s="234"/>
      <c r="V705" s="262"/>
      <c r="W705" s="254"/>
      <c r="X705" s="254"/>
      <c r="Y705" s="154"/>
      <c r="Z705" s="6"/>
      <c r="AA705" s="6"/>
      <c r="AB705" s="6"/>
      <c r="AC705" s="6"/>
      <c r="AD705" s="6"/>
      <c r="AE705" s="75"/>
      <c r="AF705" s="45"/>
    </row>
    <row r="706" spans="2:32" customFormat="1" x14ac:dyDescent="0.25">
      <c r="B706" s="127"/>
      <c r="D706" s="234"/>
      <c r="E706" s="234"/>
      <c r="V706" s="262"/>
      <c r="W706" s="254"/>
      <c r="X706" s="254"/>
      <c r="Y706" s="154"/>
      <c r="Z706" s="6"/>
      <c r="AA706" s="6"/>
      <c r="AB706" s="6"/>
      <c r="AC706" s="6"/>
      <c r="AD706" s="6"/>
      <c r="AE706" s="75"/>
      <c r="AF706" s="45"/>
    </row>
    <row r="707" spans="2:32" customFormat="1" x14ac:dyDescent="0.25">
      <c r="B707" s="127"/>
      <c r="D707" s="234"/>
      <c r="E707" s="234"/>
      <c r="V707" s="262"/>
      <c r="W707" s="254"/>
      <c r="X707" s="254"/>
      <c r="Y707" s="154"/>
      <c r="Z707" s="6"/>
      <c r="AA707" s="6"/>
      <c r="AB707" s="6"/>
      <c r="AC707" s="6"/>
      <c r="AD707" s="6"/>
      <c r="AE707" s="75"/>
      <c r="AF707" s="45"/>
    </row>
    <row r="708" spans="2:32" customFormat="1" x14ac:dyDescent="0.25">
      <c r="B708" s="127"/>
      <c r="D708" s="234"/>
      <c r="E708" s="234"/>
      <c r="V708" s="262"/>
      <c r="W708" s="254"/>
      <c r="X708" s="254"/>
      <c r="Y708" s="154"/>
      <c r="Z708" s="6"/>
      <c r="AA708" s="6"/>
      <c r="AB708" s="6"/>
      <c r="AC708" s="6"/>
      <c r="AD708" s="6"/>
      <c r="AE708" s="75"/>
      <c r="AF708" s="45"/>
    </row>
    <row r="709" spans="2:32" customFormat="1" x14ac:dyDescent="0.25">
      <c r="B709" s="127"/>
      <c r="D709" s="234"/>
      <c r="E709" s="234"/>
      <c r="V709" s="262"/>
      <c r="W709" s="254"/>
      <c r="X709" s="254"/>
      <c r="Y709" s="154"/>
      <c r="Z709" s="6"/>
      <c r="AA709" s="6"/>
      <c r="AB709" s="6"/>
      <c r="AC709" s="6"/>
      <c r="AD709" s="6"/>
      <c r="AE709" s="75"/>
      <c r="AF709" s="45"/>
    </row>
    <row r="710" spans="2:32" customFormat="1" x14ac:dyDescent="0.25">
      <c r="B710" s="127"/>
      <c r="D710" s="234"/>
      <c r="E710" s="234"/>
      <c r="V710" s="262"/>
      <c r="W710" s="254"/>
      <c r="X710" s="254"/>
      <c r="Y710" s="154"/>
      <c r="Z710" s="6"/>
      <c r="AA710" s="6"/>
      <c r="AB710" s="6"/>
      <c r="AC710" s="6"/>
      <c r="AD710" s="6"/>
      <c r="AE710" s="75"/>
      <c r="AF710" s="45"/>
    </row>
    <row r="711" spans="2:32" customFormat="1" x14ac:dyDescent="0.25">
      <c r="B711" s="127"/>
      <c r="D711" s="234"/>
      <c r="E711" s="234"/>
      <c r="V711" s="262"/>
      <c r="W711" s="254"/>
      <c r="X711" s="254"/>
      <c r="Y711" s="154"/>
      <c r="Z711" s="6"/>
      <c r="AA711" s="6"/>
      <c r="AB711" s="6"/>
      <c r="AC711" s="6"/>
      <c r="AD711" s="6"/>
      <c r="AE711" s="75"/>
      <c r="AF711" s="45"/>
    </row>
    <row r="712" spans="2:32" customFormat="1" x14ac:dyDescent="0.25">
      <c r="B712" s="127"/>
      <c r="D712" s="234"/>
      <c r="E712" s="234"/>
      <c r="V712" s="262"/>
      <c r="W712" s="254"/>
      <c r="X712" s="254"/>
      <c r="Y712" s="154"/>
      <c r="Z712" s="6"/>
      <c r="AA712" s="6"/>
      <c r="AB712" s="6"/>
      <c r="AC712" s="6"/>
      <c r="AD712" s="6"/>
      <c r="AE712" s="75"/>
      <c r="AF712" s="45"/>
    </row>
    <row r="713" spans="2:32" customFormat="1" x14ac:dyDescent="0.25">
      <c r="B713" s="127"/>
      <c r="D713" s="234"/>
      <c r="E713" s="234"/>
      <c r="V713" s="262"/>
      <c r="W713" s="254"/>
      <c r="X713" s="254"/>
      <c r="Y713" s="154"/>
      <c r="Z713" s="6"/>
      <c r="AA713" s="6"/>
      <c r="AB713" s="6"/>
      <c r="AC713" s="6"/>
      <c r="AD713" s="6"/>
      <c r="AE713" s="75"/>
      <c r="AF713" s="45"/>
    </row>
    <row r="714" spans="2:32" customFormat="1" x14ac:dyDescent="0.25">
      <c r="B714" s="127"/>
      <c r="D714" s="234"/>
      <c r="E714" s="234"/>
      <c r="V714" s="262"/>
      <c r="W714" s="254"/>
      <c r="X714" s="254"/>
      <c r="Y714" s="154"/>
      <c r="Z714" s="6"/>
      <c r="AA714" s="6"/>
      <c r="AB714" s="6"/>
      <c r="AC714" s="6"/>
      <c r="AD714" s="6"/>
      <c r="AE714" s="75"/>
      <c r="AF714" s="45"/>
    </row>
    <row r="715" spans="2:32" customFormat="1" x14ac:dyDescent="0.25">
      <c r="B715" s="127"/>
      <c r="D715" s="234"/>
      <c r="E715" s="234"/>
      <c r="V715" s="262"/>
      <c r="W715" s="254"/>
      <c r="X715" s="254"/>
      <c r="Y715" s="154"/>
      <c r="Z715" s="6"/>
      <c r="AA715" s="6"/>
      <c r="AB715" s="6"/>
      <c r="AC715" s="6"/>
      <c r="AD715" s="6"/>
      <c r="AE715" s="75"/>
      <c r="AF715" s="45"/>
    </row>
    <row r="716" spans="2:32" customFormat="1" x14ac:dyDescent="0.25">
      <c r="B716" s="127"/>
      <c r="D716" s="234"/>
      <c r="E716" s="234"/>
      <c r="V716" s="262"/>
      <c r="W716" s="254"/>
      <c r="X716" s="254"/>
      <c r="Y716" s="154"/>
      <c r="Z716" s="6"/>
      <c r="AA716" s="6"/>
      <c r="AB716" s="6"/>
      <c r="AC716" s="6"/>
      <c r="AD716" s="6"/>
      <c r="AE716" s="75"/>
      <c r="AF716" s="45"/>
    </row>
    <row r="717" spans="2:32" customFormat="1" x14ac:dyDescent="0.25">
      <c r="B717" s="127"/>
      <c r="D717" s="234"/>
      <c r="E717" s="234"/>
      <c r="V717" s="262"/>
      <c r="W717" s="254"/>
      <c r="X717" s="254"/>
      <c r="Y717" s="154"/>
      <c r="Z717" s="6"/>
      <c r="AA717" s="6"/>
      <c r="AB717" s="6"/>
      <c r="AC717" s="6"/>
      <c r="AD717" s="6"/>
      <c r="AE717" s="75"/>
      <c r="AF717" s="45"/>
    </row>
    <row r="718" spans="2:32" customFormat="1" x14ac:dyDescent="0.25">
      <c r="B718" s="127"/>
      <c r="D718" s="234"/>
      <c r="E718" s="234"/>
      <c r="V718" s="262"/>
      <c r="W718" s="254"/>
      <c r="X718" s="254"/>
      <c r="Y718" s="154"/>
      <c r="Z718" s="6"/>
      <c r="AA718" s="6"/>
      <c r="AB718" s="6"/>
      <c r="AC718" s="6"/>
      <c r="AD718" s="6"/>
      <c r="AE718" s="75"/>
      <c r="AF718" s="45"/>
    </row>
    <row r="719" spans="2:32" customFormat="1" x14ac:dyDescent="0.25">
      <c r="B719" s="127"/>
      <c r="D719" s="234"/>
      <c r="E719" s="234"/>
      <c r="V719" s="262"/>
      <c r="W719" s="254"/>
      <c r="X719" s="254"/>
      <c r="Y719" s="154"/>
      <c r="Z719" s="6"/>
      <c r="AA719" s="6"/>
      <c r="AB719" s="6"/>
      <c r="AC719" s="6"/>
      <c r="AD719" s="6"/>
      <c r="AE719" s="75"/>
      <c r="AF719" s="45"/>
    </row>
    <row r="720" spans="2:32" customFormat="1" x14ac:dyDescent="0.25">
      <c r="B720" s="127"/>
      <c r="D720" s="234"/>
      <c r="E720" s="234"/>
      <c r="V720" s="262"/>
      <c r="W720" s="254"/>
      <c r="X720" s="254"/>
      <c r="Y720" s="154"/>
      <c r="Z720" s="6"/>
      <c r="AA720" s="6"/>
      <c r="AB720" s="6"/>
      <c r="AC720" s="6"/>
      <c r="AD720" s="6"/>
      <c r="AE720" s="75"/>
      <c r="AF720" s="45"/>
    </row>
    <row r="721" spans="2:32" customFormat="1" x14ac:dyDescent="0.25">
      <c r="B721" s="127"/>
      <c r="D721" s="234"/>
      <c r="E721" s="234"/>
      <c r="V721" s="262"/>
      <c r="W721" s="254"/>
      <c r="X721" s="254"/>
      <c r="Y721" s="154"/>
      <c r="Z721" s="6"/>
      <c r="AA721" s="6"/>
      <c r="AB721" s="6"/>
      <c r="AC721" s="6"/>
      <c r="AD721" s="6"/>
      <c r="AE721" s="75"/>
      <c r="AF721" s="45"/>
    </row>
    <row r="722" spans="2:32" customFormat="1" x14ac:dyDescent="0.25">
      <c r="B722" s="127"/>
      <c r="D722" s="234"/>
      <c r="E722" s="234"/>
      <c r="V722" s="262"/>
      <c r="W722" s="254"/>
      <c r="X722" s="254"/>
      <c r="Y722" s="154"/>
      <c r="Z722" s="6"/>
      <c r="AA722" s="6"/>
      <c r="AB722" s="6"/>
      <c r="AC722" s="6"/>
      <c r="AD722" s="6"/>
      <c r="AE722" s="75"/>
      <c r="AF722" s="45"/>
    </row>
    <row r="723" spans="2:32" customFormat="1" x14ac:dyDescent="0.25">
      <c r="B723" s="127"/>
      <c r="D723" s="234"/>
      <c r="E723" s="234"/>
      <c r="V723" s="262"/>
      <c r="W723" s="254"/>
      <c r="X723" s="254"/>
      <c r="Y723" s="154"/>
      <c r="Z723" s="6"/>
      <c r="AA723" s="6"/>
      <c r="AB723" s="6"/>
      <c r="AC723" s="6"/>
      <c r="AD723" s="6"/>
      <c r="AE723" s="75"/>
      <c r="AF723" s="45"/>
    </row>
    <row r="724" spans="2:32" customFormat="1" x14ac:dyDescent="0.25">
      <c r="B724" s="127"/>
      <c r="D724" s="234"/>
      <c r="E724" s="234"/>
      <c r="V724" s="262"/>
      <c r="W724" s="254"/>
      <c r="X724" s="254"/>
      <c r="Y724" s="154"/>
      <c r="Z724" s="6"/>
      <c r="AA724" s="6"/>
      <c r="AB724" s="6"/>
      <c r="AC724" s="6"/>
      <c r="AD724" s="6"/>
      <c r="AE724" s="75"/>
      <c r="AF724" s="45"/>
    </row>
    <row r="725" spans="2:32" customFormat="1" x14ac:dyDescent="0.25">
      <c r="B725" s="127"/>
      <c r="D725" s="234"/>
      <c r="E725" s="234"/>
      <c r="V725" s="262"/>
      <c r="W725" s="254"/>
      <c r="X725" s="254"/>
      <c r="Y725" s="154"/>
      <c r="Z725" s="6"/>
      <c r="AA725" s="6"/>
      <c r="AB725" s="6"/>
      <c r="AC725" s="6"/>
      <c r="AD725" s="6"/>
      <c r="AE725" s="75"/>
      <c r="AF725" s="45"/>
    </row>
    <row r="726" spans="2:32" customFormat="1" x14ac:dyDescent="0.25">
      <c r="B726" s="127"/>
      <c r="D726" s="234"/>
      <c r="E726" s="234"/>
      <c r="V726" s="262"/>
      <c r="W726" s="254"/>
      <c r="X726" s="254"/>
      <c r="Y726" s="154"/>
      <c r="Z726" s="6"/>
      <c r="AA726" s="6"/>
      <c r="AB726" s="6"/>
      <c r="AC726" s="6"/>
      <c r="AD726" s="6"/>
      <c r="AE726" s="75"/>
      <c r="AF726" s="45"/>
    </row>
    <row r="727" spans="2:32" customFormat="1" x14ac:dyDescent="0.25">
      <c r="B727" s="127"/>
      <c r="D727" s="234"/>
      <c r="E727" s="234"/>
      <c r="V727" s="262"/>
      <c r="W727" s="254"/>
      <c r="X727" s="254"/>
      <c r="Y727" s="154"/>
      <c r="Z727" s="6"/>
      <c r="AA727" s="6"/>
      <c r="AB727" s="6"/>
      <c r="AC727" s="6"/>
      <c r="AD727" s="6"/>
      <c r="AE727" s="75"/>
      <c r="AF727" s="45"/>
    </row>
    <row r="728" spans="2:32" customFormat="1" x14ac:dyDescent="0.25">
      <c r="B728" s="127"/>
      <c r="D728" s="234"/>
      <c r="E728" s="234"/>
      <c r="V728" s="262"/>
      <c r="W728" s="254"/>
      <c r="X728" s="254"/>
      <c r="Y728" s="154"/>
      <c r="Z728" s="6"/>
      <c r="AA728" s="6"/>
      <c r="AB728" s="6"/>
      <c r="AC728" s="6"/>
      <c r="AD728" s="6"/>
      <c r="AE728" s="75"/>
      <c r="AF728" s="45"/>
    </row>
    <row r="729" spans="2:32" customFormat="1" x14ac:dyDescent="0.25">
      <c r="B729" s="127"/>
      <c r="D729" s="234"/>
      <c r="E729" s="234"/>
      <c r="V729" s="262"/>
      <c r="W729" s="254"/>
      <c r="X729" s="254"/>
      <c r="Y729" s="154"/>
      <c r="Z729" s="6"/>
      <c r="AA729" s="6"/>
      <c r="AB729" s="6"/>
      <c r="AC729" s="6"/>
      <c r="AD729" s="6"/>
      <c r="AE729" s="75"/>
      <c r="AF729" s="45"/>
    </row>
    <row r="730" spans="2:32" customFormat="1" x14ac:dyDescent="0.25">
      <c r="B730" s="127"/>
      <c r="D730" s="234"/>
      <c r="E730" s="234"/>
      <c r="V730" s="262"/>
      <c r="W730" s="254"/>
      <c r="X730" s="254"/>
      <c r="Y730" s="154"/>
      <c r="Z730" s="6"/>
      <c r="AA730" s="6"/>
      <c r="AB730" s="6"/>
      <c r="AC730" s="6"/>
      <c r="AD730" s="6"/>
      <c r="AE730" s="75"/>
      <c r="AF730" s="45"/>
    </row>
    <row r="731" spans="2:32" customFormat="1" x14ac:dyDescent="0.25">
      <c r="B731" s="127"/>
      <c r="D731" s="234"/>
      <c r="E731" s="234"/>
      <c r="V731" s="262"/>
      <c r="W731" s="254"/>
      <c r="X731" s="254"/>
      <c r="Y731" s="154"/>
      <c r="Z731" s="6"/>
      <c r="AA731" s="6"/>
      <c r="AB731" s="6"/>
      <c r="AC731" s="6"/>
      <c r="AD731" s="6"/>
      <c r="AE731" s="75"/>
      <c r="AF731" s="45"/>
    </row>
    <row r="732" spans="2:32" customFormat="1" x14ac:dyDescent="0.25">
      <c r="B732" s="127"/>
      <c r="D732" s="234"/>
      <c r="E732" s="234"/>
      <c r="V732" s="262"/>
      <c r="W732" s="254"/>
      <c r="X732" s="254"/>
      <c r="Y732" s="154"/>
      <c r="Z732" s="6"/>
      <c r="AA732" s="6"/>
      <c r="AB732" s="6"/>
      <c r="AC732" s="6"/>
      <c r="AD732" s="6"/>
      <c r="AE732" s="75"/>
      <c r="AF732" s="45"/>
    </row>
    <row r="733" spans="2:32" customFormat="1" x14ac:dyDescent="0.25">
      <c r="B733" s="127"/>
      <c r="D733" s="234"/>
      <c r="E733" s="234"/>
      <c r="V733" s="262"/>
      <c r="W733" s="254"/>
      <c r="X733" s="254"/>
      <c r="Y733" s="154"/>
      <c r="Z733" s="6"/>
      <c r="AA733" s="6"/>
      <c r="AB733" s="6"/>
      <c r="AC733" s="6"/>
      <c r="AD733" s="6"/>
      <c r="AE733" s="75"/>
      <c r="AF733" s="45"/>
    </row>
    <row r="734" spans="2:32" customFormat="1" x14ac:dyDescent="0.25">
      <c r="B734" s="127"/>
      <c r="D734" s="234"/>
      <c r="E734" s="234"/>
      <c r="V734" s="262"/>
      <c r="W734" s="254"/>
      <c r="X734" s="254"/>
      <c r="Y734" s="154"/>
      <c r="Z734" s="6"/>
      <c r="AA734" s="6"/>
      <c r="AB734" s="6"/>
      <c r="AC734" s="6"/>
      <c r="AD734" s="6"/>
      <c r="AE734" s="75"/>
      <c r="AF734" s="45"/>
    </row>
    <row r="735" spans="2:32" customFormat="1" x14ac:dyDescent="0.25">
      <c r="B735" s="127"/>
      <c r="D735" s="234"/>
      <c r="E735" s="234"/>
      <c r="V735" s="262"/>
      <c r="W735" s="254"/>
      <c r="X735" s="254"/>
      <c r="Y735" s="154"/>
      <c r="Z735" s="6"/>
      <c r="AA735" s="6"/>
      <c r="AB735" s="6"/>
      <c r="AC735" s="6"/>
      <c r="AD735" s="6"/>
      <c r="AE735" s="75"/>
      <c r="AF735" s="45"/>
    </row>
    <row r="736" spans="2:32" customFormat="1" x14ac:dyDescent="0.25">
      <c r="B736" s="127"/>
      <c r="D736" s="234"/>
      <c r="E736" s="234"/>
      <c r="V736" s="262"/>
      <c r="W736" s="254"/>
      <c r="X736" s="254"/>
      <c r="Y736" s="154"/>
      <c r="Z736" s="6"/>
      <c r="AA736" s="6"/>
      <c r="AB736" s="6"/>
      <c r="AC736" s="6"/>
      <c r="AD736" s="6"/>
      <c r="AE736" s="75"/>
      <c r="AF736" s="45"/>
    </row>
    <row r="737" spans="2:32" customFormat="1" x14ac:dyDescent="0.25">
      <c r="B737" s="127"/>
      <c r="D737" s="234"/>
      <c r="E737" s="234"/>
      <c r="V737" s="262"/>
      <c r="W737" s="254"/>
      <c r="X737" s="254"/>
      <c r="Y737" s="154"/>
      <c r="Z737" s="6"/>
      <c r="AA737" s="6"/>
      <c r="AB737" s="6"/>
      <c r="AC737" s="6"/>
      <c r="AD737" s="6"/>
      <c r="AE737" s="75"/>
      <c r="AF737" s="45"/>
    </row>
    <row r="738" spans="2:32" customFormat="1" x14ac:dyDescent="0.25">
      <c r="B738" s="127"/>
      <c r="D738" s="234"/>
      <c r="E738" s="234"/>
      <c r="V738" s="262"/>
      <c r="W738" s="254"/>
      <c r="X738" s="254"/>
      <c r="Y738" s="154"/>
      <c r="Z738" s="6"/>
      <c r="AA738" s="6"/>
      <c r="AB738" s="6"/>
      <c r="AC738" s="6"/>
      <c r="AD738" s="6"/>
      <c r="AE738" s="75"/>
      <c r="AF738" s="45"/>
    </row>
    <row r="739" spans="2:32" customFormat="1" x14ac:dyDescent="0.25">
      <c r="B739" s="127"/>
      <c r="D739" s="234"/>
      <c r="E739" s="234"/>
      <c r="V739" s="262"/>
      <c r="W739" s="254"/>
      <c r="X739" s="254"/>
      <c r="Y739" s="154"/>
      <c r="Z739" s="6"/>
      <c r="AA739" s="6"/>
      <c r="AB739" s="6"/>
      <c r="AC739" s="6"/>
      <c r="AD739" s="6"/>
      <c r="AE739" s="75"/>
      <c r="AF739" s="45"/>
    </row>
    <row r="740" spans="2:32" customFormat="1" x14ac:dyDescent="0.25">
      <c r="B740" s="127"/>
      <c r="D740" s="234"/>
      <c r="E740" s="234"/>
      <c r="V740" s="262"/>
      <c r="W740" s="254"/>
      <c r="X740" s="254"/>
      <c r="Y740" s="154"/>
      <c r="Z740" s="6"/>
      <c r="AA740" s="6"/>
      <c r="AB740" s="6"/>
      <c r="AC740" s="6"/>
      <c r="AD740" s="6"/>
      <c r="AE740" s="75"/>
      <c r="AF740" s="45"/>
    </row>
    <row r="741" spans="2:32" customFormat="1" x14ac:dyDescent="0.25">
      <c r="B741" s="127"/>
      <c r="D741" s="234"/>
      <c r="E741" s="234"/>
      <c r="V741" s="262"/>
      <c r="W741" s="254"/>
      <c r="X741" s="254"/>
      <c r="Y741" s="154"/>
      <c r="Z741" s="6"/>
      <c r="AA741" s="6"/>
      <c r="AB741" s="6"/>
      <c r="AC741" s="6"/>
      <c r="AD741" s="6"/>
      <c r="AE741" s="75"/>
      <c r="AF741" s="45"/>
    </row>
    <row r="742" spans="2:32" customFormat="1" x14ac:dyDescent="0.25">
      <c r="B742" s="127"/>
      <c r="D742" s="234"/>
      <c r="E742" s="234"/>
      <c r="V742" s="262"/>
      <c r="W742" s="254"/>
      <c r="X742" s="254"/>
      <c r="Y742" s="154"/>
      <c r="Z742" s="6"/>
      <c r="AA742" s="6"/>
      <c r="AB742" s="6"/>
      <c r="AC742" s="6"/>
      <c r="AD742" s="6"/>
      <c r="AE742" s="75"/>
      <c r="AF742" s="45"/>
    </row>
    <row r="743" spans="2:32" customFormat="1" x14ac:dyDescent="0.25">
      <c r="B743" s="127"/>
      <c r="D743" s="234"/>
      <c r="E743" s="234"/>
      <c r="V743" s="262"/>
      <c r="W743" s="254"/>
      <c r="X743" s="254"/>
      <c r="Y743" s="154"/>
      <c r="Z743" s="6"/>
      <c r="AA743" s="6"/>
      <c r="AB743" s="6"/>
      <c r="AC743" s="6"/>
      <c r="AD743" s="6"/>
      <c r="AE743" s="75"/>
      <c r="AF743" s="45"/>
    </row>
    <row r="744" spans="2:32" customFormat="1" x14ac:dyDescent="0.25">
      <c r="B744" s="127"/>
      <c r="D744" s="234"/>
      <c r="E744" s="234"/>
      <c r="V744" s="262"/>
      <c r="W744" s="254"/>
      <c r="X744" s="254"/>
      <c r="Y744" s="154"/>
      <c r="Z744" s="6"/>
      <c r="AA744" s="6"/>
      <c r="AB744" s="6"/>
      <c r="AC744" s="6"/>
      <c r="AD744" s="6"/>
      <c r="AE744" s="75"/>
      <c r="AF744" s="45"/>
    </row>
    <row r="745" spans="2:32" customFormat="1" x14ac:dyDescent="0.25">
      <c r="B745" s="127"/>
      <c r="D745" s="234"/>
      <c r="E745" s="234"/>
      <c r="V745" s="262"/>
      <c r="W745" s="254"/>
      <c r="X745" s="254"/>
      <c r="Y745" s="154"/>
      <c r="Z745" s="6"/>
      <c r="AA745" s="6"/>
      <c r="AB745" s="6"/>
      <c r="AC745" s="6"/>
      <c r="AD745" s="6"/>
      <c r="AE745" s="75"/>
      <c r="AF745" s="45"/>
    </row>
    <row r="746" spans="2:32" customFormat="1" x14ac:dyDescent="0.25">
      <c r="B746" s="127"/>
      <c r="D746" s="234"/>
      <c r="E746" s="234"/>
      <c r="V746" s="262"/>
      <c r="W746" s="254"/>
      <c r="X746" s="254"/>
      <c r="Y746" s="154"/>
      <c r="Z746" s="6"/>
      <c r="AA746" s="6"/>
      <c r="AB746" s="6"/>
      <c r="AC746" s="6"/>
      <c r="AD746" s="6"/>
      <c r="AE746" s="75"/>
      <c r="AF746" s="45"/>
    </row>
    <row r="747" spans="2:32" customFormat="1" x14ac:dyDescent="0.25">
      <c r="B747" s="127"/>
      <c r="D747" s="234"/>
      <c r="E747" s="234"/>
      <c r="V747" s="262"/>
      <c r="W747" s="254"/>
      <c r="X747" s="254"/>
      <c r="Y747" s="154"/>
      <c r="Z747" s="6"/>
      <c r="AA747" s="6"/>
      <c r="AB747" s="6"/>
      <c r="AC747" s="6"/>
      <c r="AD747" s="6"/>
      <c r="AE747" s="75"/>
      <c r="AF747" s="45"/>
    </row>
    <row r="748" spans="2:32" customFormat="1" x14ac:dyDescent="0.25">
      <c r="B748" s="127"/>
      <c r="D748" s="234"/>
      <c r="E748" s="234"/>
      <c r="V748" s="262"/>
      <c r="W748" s="254"/>
      <c r="X748" s="254"/>
      <c r="Y748" s="154"/>
      <c r="Z748" s="6"/>
      <c r="AA748" s="6"/>
      <c r="AB748" s="6"/>
      <c r="AC748" s="6"/>
      <c r="AD748" s="6"/>
      <c r="AE748" s="75"/>
      <c r="AF748" s="45"/>
    </row>
    <row r="749" spans="2:32" customFormat="1" x14ac:dyDescent="0.25">
      <c r="B749" s="127"/>
      <c r="D749" s="234"/>
      <c r="E749" s="234"/>
      <c r="V749" s="262"/>
      <c r="W749" s="254"/>
      <c r="X749" s="254"/>
      <c r="Y749" s="154"/>
      <c r="Z749" s="6"/>
      <c r="AA749" s="6"/>
      <c r="AB749" s="6"/>
      <c r="AC749" s="6"/>
      <c r="AD749" s="6"/>
      <c r="AE749" s="75"/>
      <c r="AF749" s="45"/>
    </row>
    <row r="750" spans="2:32" customFormat="1" x14ac:dyDescent="0.25">
      <c r="B750" s="127"/>
      <c r="D750" s="234"/>
      <c r="E750" s="234"/>
      <c r="V750" s="262"/>
      <c r="W750" s="254"/>
      <c r="X750" s="254"/>
      <c r="Y750" s="154"/>
      <c r="Z750" s="6"/>
      <c r="AA750" s="6"/>
      <c r="AB750" s="6"/>
      <c r="AC750" s="6"/>
      <c r="AD750" s="6"/>
      <c r="AE750" s="75"/>
      <c r="AF750" s="45"/>
    </row>
    <row r="751" spans="2:32" customFormat="1" x14ac:dyDescent="0.25">
      <c r="B751" s="127"/>
      <c r="D751" s="234"/>
      <c r="E751" s="234"/>
      <c r="V751" s="262"/>
      <c r="W751" s="254"/>
      <c r="X751" s="254"/>
      <c r="Y751" s="154"/>
      <c r="Z751" s="6"/>
      <c r="AA751" s="6"/>
      <c r="AB751" s="6"/>
      <c r="AC751" s="6"/>
      <c r="AD751" s="6"/>
      <c r="AE751" s="75"/>
      <c r="AF751" s="45"/>
    </row>
    <row r="752" spans="2:32" customFormat="1" x14ac:dyDescent="0.25">
      <c r="B752" s="127"/>
      <c r="D752" s="234"/>
      <c r="E752" s="234"/>
      <c r="V752" s="262"/>
      <c r="W752" s="254"/>
      <c r="X752" s="254"/>
      <c r="Y752" s="154"/>
      <c r="Z752" s="6"/>
      <c r="AA752" s="6"/>
      <c r="AB752" s="6"/>
      <c r="AC752" s="6"/>
      <c r="AD752" s="6"/>
      <c r="AE752" s="75"/>
      <c r="AF752" s="45"/>
    </row>
    <row r="753" spans="2:32" customFormat="1" x14ac:dyDescent="0.25">
      <c r="B753" s="127"/>
      <c r="D753" s="234"/>
      <c r="E753" s="234"/>
      <c r="V753" s="262"/>
      <c r="W753" s="254"/>
      <c r="X753" s="254"/>
      <c r="Y753" s="154"/>
      <c r="Z753" s="6"/>
      <c r="AA753" s="6"/>
      <c r="AB753" s="6"/>
      <c r="AC753" s="6"/>
      <c r="AD753" s="6"/>
      <c r="AE753" s="75"/>
      <c r="AF753" s="45"/>
    </row>
    <row r="754" spans="2:32" customFormat="1" x14ac:dyDescent="0.25">
      <c r="B754" s="127"/>
      <c r="D754" s="234"/>
      <c r="E754" s="234"/>
      <c r="V754" s="262"/>
      <c r="W754" s="254"/>
      <c r="X754" s="254"/>
      <c r="Y754" s="154"/>
      <c r="Z754" s="6"/>
      <c r="AA754" s="6"/>
      <c r="AB754" s="6"/>
      <c r="AC754" s="6"/>
      <c r="AD754" s="6"/>
      <c r="AE754" s="75"/>
      <c r="AF754" s="45"/>
    </row>
    <row r="755" spans="2:32" customFormat="1" x14ac:dyDescent="0.25">
      <c r="B755" s="127"/>
      <c r="D755" s="234"/>
      <c r="E755" s="234"/>
      <c r="V755" s="262"/>
      <c r="W755" s="254"/>
      <c r="X755" s="254"/>
      <c r="Y755" s="154"/>
      <c r="Z755" s="6"/>
      <c r="AA755" s="6"/>
      <c r="AB755" s="6"/>
      <c r="AC755" s="6"/>
      <c r="AD755" s="6"/>
      <c r="AE755" s="75"/>
      <c r="AF755" s="45"/>
    </row>
    <row r="756" spans="2:32" customFormat="1" x14ac:dyDescent="0.25">
      <c r="B756" s="127"/>
      <c r="D756" s="234"/>
      <c r="E756" s="234"/>
      <c r="V756" s="262"/>
      <c r="W756" s="254"/>
      <c r="X756" s="254"/>
      <c r="Y756" s="154"/>
      <c r="Z756" s="6"/>
      <c r="AA756" s="6"/>
      <c r="AB756" s="6"/>
      <c r="AC756" s="6"/>
      <c r="AD756" s="6"/>
      <c r="AE756" s="75"/>
      <c r="AF756" s="45"/>
    </row>
    <row r="757" spans="2:32" customFormat="1" x14ac:dyDescent="0.25">
      <c r="B757" s="127"/>
      <c r="D757" s="234"/>
      <c r="E757" s="234"/>
      <c r="V757" s="262"/>
      <c r="W757" s="254"/>
      <c r="X757" s="254"/>
      <c r="Y757" s="154"/>
      <c r="Z757" s="6"/>
      <c r="AA757" s="6"/>
      <c r="AB757" s="6"/>
      <c r="AC757" s="6"/>
      <c r="AD757" s="6"/>
      <c r="AE757" s="75"/>
      <c r="AF757" s="45"/>
    </row>
    <row r="758" spans="2:32" customFormat="1" x14ac:dyDescent="0.25">
      <c r="B758" s="127"/>
      <c r="D758" s="234"/>
      <c r="E758" s="234"/>
      <c r="V758" s="262"/>
      <c r="W758" s="254"/>
      <c r="X758" s="254"/>
      <c r="Y758" s="154"/>
      <c r="Z758" s="6"/>
      <c r="AA758" s="6"/>
      <c r="AB758" s="6"/>
      <c r="AC758" s="6"/>
      <c r="AD758" s="6"/>
      <c r="AE758" s="75"/>
      <c r="AF758" s="45"/>
    </row>
    <row r="759" spans="2:32" customFormat="1" x14ac:dyDescent="0.25">
      <c r="B759" s="127"/>
      <c r="D759" s="234"/>
      <c r="E759" s="234"/>
      <c r="V759" s="262"/>
      <c r="W759" s="254"/>
      <c r="X759" s="254"/>
      <c r="Y759" s="154"/>
      <c r="Z759" s="6"/>
      <c r="AA759" s="6"/>
      <c r="AB759" s="6"/>
      <c r="AC759" s="6"/>
      <c r="AD759" s="6"/>
      <c r="AE759" s="75"/>
      <c r="AF759" s="45"/>
    </row>
    <row r="760" spans="2:32" customFormat="1" x14ac:dyDescent="0.25">
      <c r="B760" s="127"/>
      <c r="D760" s="234"/>
      <c r="E760" s="234"/>
      <c r="V760" s="262"/>
      <c r="W760" s="254"/>
      <c r="X760" s="254"/>
      <c r="Y760" s="154"/>
      <c r="Z760" s="6"/>
      <c r="AA760" s="6"/>
      <c r="AB760" s="6"/>
      <c r="AC760" s="6"/>
      <c r="AD760" s="6"/>
      <c r="AE760" s="75"/>
      <c r="AF760" s="45"/>
    </row>
    <row r="761" spans="2:32" customFormat="1" x14ac:dyDescent="0.25">
      <c r="B761" s="127"/>
      <c r="D761" s="234"/>
      <c r="E761" s="234"/>
      <c r="V761" s="262"/>
      <c r="W761" s="254"/>
      <c r="X761" s="254"/>
      <c r="Y761" s="154"/>
      <c r="Z761" s="6"/>
      <c r="AA761" s="6"/>
      <c r="AB761" s="6"/>
      <c r="AC761" s="6"/>
      <c r="AD761" s="6"/>
      <c r="AE761" s="75"/>
      <c r="AF761" s="45"/>
    </row>
    <row r="762" spans="2:32" customFormat="1" x14ac:dyDescent="0.25">
      <c r="B762" s="127"/>
      <c r="D762" s="234"/>
      <c r="E762" s="234"/>
      <c r="V762" s="262"/>
      <c r="W762" s="254"/>
      <c r="X762" s="254"/>
      <c r="Y762" s="154"/>
      <c r="Z762" s="6"/>
      <c r="AA762" s="6"/>
      <c r="AB762" s="6"/>
      <c r="AC762" s="6"/>
      <c r="AD762" s="6"/>
      <c r="AE762" s="75"/>
      <c r="AF762" s="45"/>
    </row>
    <row r="763" spans="2:32" customFormat="1" x14ac:dyDescent="0.25">
      <c r="B763" s="127"/>
      <c r="D763" s="234"/>
      <c r="E763" s="234"/>
      <c r="V763" s="262"/>
      <c r="W763" s="254"/>
      <c r="X763" s="254"/>
      <c r="Y763" s="154"/>
      <c r="Z763" s="6"/>
      <c r="AA763" s="6"/>
      <c r="AB763" s="6"/>
      <c r="AC763" s="6"/>
      <c r="AD763" s="6"/>
      <c r="AE763" s="75"/>
      <c r="AF763" s="45"/>
    </row>
    <row r="764" spans="2:32" customFormat="1" x14ac:dyDescent="0.25">
      <c r="B764" s="127"/>
      <c r="D764" s="234"/>
      <c r="E764" s="234"/>
      <c r="V764" s="262"/>
      <c r="W764" s="254"/>
      <c r="X764" s="254"/>
      <c r="Y764" s="154"/>
      <c r="Z764" s="6"/>
      <c r="AA764" s="6"/>
      <c r="AB764" s="6"/>
      <c r="AC764" s="6"/>
      <c r="AD764" s="6"/>
      <c r="AE764" s="75"/>
      <c r="AF764" s="45"/>
    </row>
    <row r="765" spans="2:32" customFormat="1" x14ac:dyDescent="0.25">
      <c r="B765" s="127"/>
      <c r="D765" s="234"/>
      <c r="E765" s="234"/>
      <c r="V765" s="262"/>
      <c r="W765" s="254"/>
      <c r="X765" s="254"/>
      <c r="Y765" s="154"/>
      <c r="Z765" s="6"/>
      <c r="AA765" s="6"/>
      <c r="AB765" s="6"/>
      <c r="AC765" s="6"/>
      <c r="AD765" s="6"/>
      <c r="AE765" s="75"/>
      <c r="AF765" s="45"/>
    </row>
    <row r="766" spans="2:32" customFormat="1" x14ac:dyDescent="0.25">
      <c r="B766" s="127"/>
      <c r="D766" s="234"/>
      <c r="E766" s="234"/>
      <c r="V766" s="262"/>
      <c r="W766" s="254"/>
      <c r="X766" s="254"/>
      <c r="Y766" s="154"/>
      <c r="Z766" s="6"/>
      <c r="AA766" s="6"/>
      <c r="AB766" s="6"/>
      <c r="AC766" s="6"/>
      <c r="AD766" s="6"/>
      <c r="AE766" s="75"/>
      <c r="AF766" s="45"/>
    </row>
    <row r="767" spans="2:32" customFormat="1" x14ac:dyDescent="0.25">
      <c r="B767" s="127"/>
      <c r="D767" s="234"/>
      <c r="E767" s="234"/>
      <c r="V767" s="262"/>
      <c r="W767" s="254"/>
      <c r="X767" s="254"/>
      <c r="Y767" s="154"/>
      <c r="Z767" s="6"/>
      <c r="AA767" s="6"/>
      <c r="AB767" s="6"/>
      <c r="AC767" s="6"/>
      <c r="AD767" s="6"/>
      <c r="AE767" s="75"/>
      <c r="AF767" s="45"/>
    </row>
    <row r="768" spans="2:32" customFormat="1" x14ac:dyDescent="0.25">
      <c r="B768" s="127"/>
      <c r="D768" s="234"/>
      <c r="E768" s="234"/>
      <c r="V768" s="262"/>
      <c r="W768" s="254"/>
      <c r="X768" s="254"/>
      <c r="Y768" s="154"/>
      <c r="Z768" s="6"/>
      <c r="AA768" s="6"/>
      <c r="AB768" s="6"/>
      <c r="AC768" s="6"/>
      <c r="AD768" s="6"/>
      <c r="AE768" s="75"/>
      <c r="AF768" s="45"/>
    </row>
    <row r="769" spans="2:32" customFormat="1" x14ac:dyDescent="0.25">
      <c r="B769" s="127"/>
      <c r="D769" s="234"/>
      <c r="E769" s="234"/>
      <c r="V769" s="262"/>
      <c r="W769" s="254"/>
      <c r="X769" s="254"/>
      <c r="Y769" s="154"/>
      <c r="Z769" s="6"/>
      <c r="AA769" s="6"/>
      <c r="AB769" s="6"/>
      <c r="AC769" s="6"/>
      <c r="AD769" s="6"/>
      <c r="AE769" s="75"/>
      <c r="AF769" s="45"/>
    </row>
    <row r="770" spans="2:32" customFormat="1" x14ac:dyDescent="0.25">
      <c r="B770" s="127"/>
      <c r="D770" s="234"/>
      <c r="E770" s="234"/>
      <c r="V770" s="262"/>
      <c r="W770" s="254"/>
      <c r="X770" s="254"/>
      <c r="Y770" s="154"/>
      <c r="Z770" s="6"/>
      <c r="AA770" s="6"/>
      <c r="AB770" s="6"/>
      <c r="AC770" s="6"/>
      <c r="AD770" s="6"/>
      <c r="AE770" s="75"/>
      <c r="AF770" s="45"/>
    </row>
    <row r="771" spans="2:32" customFormat="1" x14ac:dyDescent="0.25">
      <c r="B771" s="127"/>
      <c r="D771" s="234"/>
      <c r="E771" s="234"/>
      <c r="V771" s="262"/>
      <c r="W771" s="254"/>
      <c r="X771" s="254"/>
      <c r="Y771" s="154"/>
      <c r="Z771" s="6"/>
      <c r="AA771" s="6"/>
      <c r="AB771" s="6"/>
      <c r="AC771" s="6"/>
      <c r="AD771" s="6"/>
      <c r="AE771" s="75"/>
      <c r="AF771" s="45"/>
    </row>
    <row r="772" spans="2:32" customFormat="1" x14ac:dyDescent="0.25">
      <c r="B772" s="127"/>
      <c r="D772" s="234"/>
      <c r="E772" s="234"/>
      <c r="V772" s="262"/>
      <c r="W772" s="254"/>
      <c r="X772" s="254"/>
      <c r="Y772" s="154"/>
      <c r="Z772" s="6"/>
      <c r="AA772" s="6"/>
      <c r="AB772" s="6"/>
      <c r="AC772" s="6"/>
      <c r="AD772" s="6"/>
      <c r="AE772" s="75"/>
      <c r="AF772" s="45"/>
    </row>
    <row r="773" spans="2:32" customFormat="1" x14ac:dyDescent="0.25">
      <c r="B773" s="127"/>
      <c r="D773" s="234"/>
      <c r="E773" s="234"/>
      <c r="V773" s="262"/>
      <c r="W773" s="254"/>
      <c r="X773" s="254"/>
      <c r="Y773" s="154"/>
      <c r="Z773" s="6"/>
      <c r="AA773" s="6"/>
      <c r="AB773" s="6"/>
      <c r="AC773" s="6"/>
      <c r="AD773" s="6"/>
      <c r="AE773" s="75"/>
      <c r="AF773" s="45"/>
    </row>
    <row r="774" spans="2:32" customFormat="1" x14ac:dyDescent="0.25">
      <c r="B774" s="127"/>
      <c r="D774" s="234"/>
      <c r="E774" s="234"/>
      <c r="V774" s="262"/>
      <c r="W774" s="254"/>
      <c r="X774" s="254"/>
      <c r="Y774" s="154"/>
      <c r="Z774" s="6"/>
      <c r="AA774" s="6"/>
      <c r="AB774" s="6"/>
      <c r="AC774" s="6"/>
      <c r="AD774" s="6"/>
      <c r="AE774" s="75"/>
      <c r="AF774" s="45"/>
    </row>
    <row r="775" spans="2:32" customFormat="1" x14ac:dyDescent="0.25">
      <c r="B775" s="127"/>
      <c r="D775" s="234"/>
      <c r="E775" s="234"/>
      <c r="V775" s="262"/>
      <c r="W775" s="254"/>
      <c r="X775" s="254"/>
      <c r="Y775" s="154"/>
      <c r="Z775" s="6"/>
      <c r="AA775" s="6"/>
      <c r="AB775" s="6"/>
      <c r="AC775" s="6"/>
      <c r="AD775" s="6"/>
      <c r="AE775" s="75"/>
      <c r="AF775" s="45"/>
    </row>
    <row r="776" spans="2:32" customFormat="1" x14ac:dyDescent="0.25">
      <c r="B776" s="127"/>
      <c r="D776" s="234"/>
      <c r="E776" s="234"/>
      <c r="V776" s="262"/>
      <c r="W776" s="254"/>
      <c r="X776" s="254"/>
      <c r="Y776" s="154"/>
      <c r="Z776" s="6"/>
      <c r="AA776" s="6"/>
      <c r="AB776" s="6"/>
      <c r="AC776" s="6"/>
      <c r="AD776" s="6"/>
      <c r="AE776" s="75"/>
      <c r="AF776" s="45"/>
    </row>
    <row r="777" spans="2:32" customFormat="1" x14ac:dyDescent="0.25">
      <c r="B777" s="127"/>
      <c r="D777" s="234"/>
      <c r="E777" s="234"/>
      <c r="V777" s="262"/>
      <c r="W777" s="254"/>
      <c r="X777" s="254"/>
      <c r="Y777" s="154"/>
      <c r="Z777" s="6"/>
      <c r="AA777" s="6"/>
      <c r="AB777" s="6"/>
      <c r="AC777" s="6"/>
      <c r="AD777" s="6"/>
      <c r="AE777" s="75"/>
      <c r="AF777" s="45"/>
    </row>
    <row r="778" spans="2:32" customFormat="1" x14ac:dyDescent="0.25">
      <c r="B778" s="127"/>
      <c r="D778" s="234"/>
      <c r="E778" s="234"/>
      <c r="V778" s="262"/>
      <c r="W778" s="254"/>
      <c r="X778" s="254"/>
      <c r="Y778" s="154"/>
      <c r="Z778" s="6"/>
      <c r="AA778" s="6"/>
      <c r="AB778" s="6"/>
      <c r="AC778" s="6"/>
      <c r="AD778" s="6"/>
      <c r="AE778" s="75"/>
      <c r="AF778" s="45"/>
    </row>
    <row r="779" spans="2:32" customFormat="1" x14ac:dyDescent="0.25">
      <c r="B779" s="127"/>
      <c r="D779" s="234"/>
      <c r="E779" s="234"/>
      <c r="V779" s="262"/>
      <c r="W779" s="254"/>
      <c r="X779" s="254"/>
      <c r="Y779" s="154"/>
      <c r="Z779" s="6"/>
      <c r="AA779" s="6"/>
      <c r="AB779" s="6"/>
      <c r="AC779" s="6"/>
      <c r="AD779" s="6"/>
      <c r="AE779" s="75"/>
      <c r="AF779" s="45"/>
    </row>
    <row r="780" spans="2:32" customFormat="1" x14ac:dyDescent="0.25">
      <c r="B780" s="127"/>
      <c r="D780" s="234"/>
      <c r="E780" s="234"/>
      <c r="V780" s="262"/>
      <c r="W780" s="254"/>
      <c r="X780" s="254"/>
      <c r="Y780" s="154"/>
      <c r="Z780" s="6"/>
      <c r="AA780" s="6"/>
      <c r="AB780" s="6"/>
      <c r="AC780" s="6"/>
      <c r="AD780" s="6"/>
      <c r="AE780" s="75"/>
      <c r="AF780" s="45"/>
    </row>
    <row r="781" spans="2:32" customFormat="1" x14ac:dyDescent="0.25">
      <c r="B781" s="127"/>
      <c r="D781" s="234"/>
      <c r="E781" s="234"/>
      <c r="V781" s="262"/>
      <c r="W781" s="254"/>
      <c r="X781" s="254"/>
      <c r="Y781" s="154"/>
      <c r="Z781" s="6"/>
      <c r="AA781" s="6"/>
      <c r="AB781" s="6"/>
      <c r="AC781" s="6"/>
      <c r="AD781" s="6"/>
      <c r="AE781" s="75"/>
      <c r="AF781" s="45"/>
    </row>
    <row r="782" spans="2:32" customFormat="1" x14ac:dyDescent="0.25">
      <c r="B782" s="127"/>
      <c r="D782" s="234"/>
      <c r="E782" s="234"/>
      <c r="V782" s="262"/>
      <c r="W782" s="254"/>
      <c r="X782" s="254"/>
      <c r="Y782" s="154"/>
      <c r="Z782" s="6"/>
      <c r="AA782" s="6"/>
      <c r="AB782" s="6"/>
      <c r="AC782" s="6"/>
      <c r="AD782" s="6"/>
      <c r="AE782" s="75"/>
      <c r="AF782" s="45"/>
    </row>
    <row r="783" spans="2:32" customFormat="1" x14ac:dyDescent="0.25">
      <c r="B783" s="127"/>
      <c r="D783" s="234"/>
      <c r="E783" s="234"/>
      <c r="V783" s="262"/>
      <c r="W783" s="254"/>
      <c r="X783" s="254"/>
      <c r="Y783" s="154"/>
      <c r="Z783" s="6"/>
      <c r="AA783" s="6"/>
      <c r="AB783" s="6"/>
      <c r="AC783" s="6"/>
      <c r="AD783" s="6"/>
      <c r="AE783" s="75"/>
      <c r="AF783" s="45"/>
    </row>
    <row r="784" spans="2:32" customFormat="1" x14ac:dyDescent="0.25">
      <c r="B784" s="127"/>
      <c r="D784" s="234"/>
      <c r="E784" s="234"/>
      <c r="V784" s="262"/>
      <c r="W784" s="254"/>
      <c r="X784" s="254"/>
      <c r="Y784" s="154"/>
      <c r="Z784" s="6"/>
      <c r="AA784" s="6"/>
      <c r="AB784" s="6"/>
      <c r="AC784" s="6"/>
      <c r="AD784" s="6"/>
      <c r="AE784" s="75"/>
      <c r="AF784" s="45"/>
    </row>
    <row r="785" spans="2:32" customFormat="1" x14ac:dyDescent="0.25">
      <c r="B785" s="127"/>
      <c r="D785" s="234"/>
      <c r="E785" s="234"/>
      <c r="V785" s="262"/>
      <c r="W785" s="254"/>
      <c r="X785" s="254"/>
      <c r="Y785" s="154"/>
      <c r="Z785" s="6"/>
      <c r="AA785" s="6"/>
      <c r="AB785" s="6"/>
      <c r="AC785" s="6"/>
      <c r="AD785" s="6"/>
      <c r="AE785" s="75"/>
      <c r="AF785" s="45"/>
    </row>
    <row r="786" spans="2:32" customFormat="1" x14ac:dyDescent="0.25">
      <c r="B786" s="127"/>
      <c r="D786" s="234"/>
      <c r="E786" s="234"/>
      <c r="V786" s="262"/>
      <c r="W786" s="254"/>
      <c r="X786" s="254"/>
      <c r="Y786" s="154"/>
      <c r="Z786" s="6"/>
      <c r="AA786" s="6"/>
      <c r="AB786" s="6"/>
      <c r="AC786" s="6"/>
      <c r="AD786" s="6"/>
      <c r="AE786" s="75"/>
      <c r="AF786" s="45"/>
    </row>
    <row r="787" spans="2:32" customFormat="1" x14ac:dyDescent="0.25">
      <c r="B787" s="127"/>
      <c r="D787" s="234"/>
      <c r="E787" s="234"/>
      <c r="V787" s="262"/>
      <c r="W787" s="254"/>
      <c r="X787" s="254"/>
      <c r="Y787" s="154"/>
      <c r="Z787" s="6"/>
      <c r="AA787" s="6"/>
      <c r="AB787" s="6"/>
      <c r="AC787" s="6"/>
      <c r="AD787" s="6"/>
      <c r="AE787" s="75"/>
      <c r="AF787" s="45"/>
    </row>
    <row r="788" spans="2:32" customFormat="1" x14ac:dyDescent="0.25">
      <c r="B788" s="127"/>
      <c r="D788" s="234"/>
      <c r="E788" s="234"/>
      <c r="V788" s="262"/>
      <c r="W788" s="254"/>
      <c r="X788" s="254"/>
      <c r="Y788" s="154"/>
      <c r="Z788" s="6"/>
      <c r="AA788" s="6"/>
      <c r="AB788" s="6"/>
      <c r="AC788" s="6"/>
      <c r="AD788" s="6"/>
      <c r="AE788" s="75"/>
      <c r="AF788" s="45"/>
    </row>
    <row r="789" spans="2:32" customFormat="1" x14ac:dyDescent="0.25">
      <c r="B789" s="127"/>
      <c r="D789" s="234"/>
      <c r="E789" s="234"/>
      <c r="V789" s="262"/>
      <c r="W789" s="254"/>
      <c r="X789" s="254"/>
      <c r="Y789" s="154"/>
      <c r="Z789" s="6"/>
      <c r="AA789" s="6"/>
      <c r="AB789" s="6"/>
      <c r="AC789" s="6"/>
      <c r="AD789" s="6"/>
      <c r="AE789" s="75"/>
      <c r="AF789" s="45"/>
    </row>
    <row r="790" spans="2:32" customFormat="1" x14ac:dyDescent="0.25">
      <c r="B790" s="127"/>
      <c r="D790" s="234"/>
      <c r="E790" s="234"/>
      <c r="V790" s="262"/>
      <c r="W790" s="254"/>
      <c r="X790" s="254"/>
      <c r="Y790" s="154"/>
      <c r="Z790" s="6"/>
      <c r="AA790" s="6"/>
      <c r="AB790" s="6"/>
      <c r="AC790" s="6"/>
      <c r="AD790" s="6"/>
      <c r="AE790" s="75"/>
      <c r="AF790" s="45"/>
    </row>
    <row r="791" spans="2:32" customFormat="1" x14ac:dyDescent="0.25">
      <c r="B791" s="127"/>
      <c r="D791" s="234"/>
      <c r="E791" s="234"/>
      <c r="V791" s="262"/>
      <c r="W791" s="254"/>
      <c r="X791" s="254"/>
      <c r="Y791" s="154"/>
      <c r="Z791" s="6"/>
      <c r="AA791" s="6"/>
      <c r="AB791" s="6"/>
      <c r="AC791" s="6"/>
      <c r="AD791" s="6"/>
      <c r="AE791" s="75"/>
      <c r="AF791" s="45"/>
    </row>
    <row r="792" spans="2:32" customFormat="1" x14ac:dyDescent="0.25">
      <c r="B792" s="127"/>
      <c r="D792" s="234"/>
      <c r="E792" s="234"/>
      <c r="V792" s="262"/>
      <c r="W792" s="254"/>
      <c r="X792" s="254"/>
      <c r="Y792" s="154"/>
      <c r="Z792" s="6"/>
      <c r="AA792" s="6"/>
      <c r="AB792" s="6"/>
      <c r="AC792" s="6"/>
      <c r="AD792" s="6"/>
      <c r="AE792" s="75"/>
      <c r="AF792" s="45"/>
    </row>
    <row r="793" spans="2:32" customFormat="1" x14ac:dyDescent="0.25">
      <c r="B793" s="127"/>
      <c r="D793" s="234"/>
      <c r="E793" s="234"/>
      <c r="V793" s="262"/>
      <c r="W793" s="254"/>
      <c r="X793" s="254"/>
      <c r="Y793" s="154"/>
      <c r="Z793" s="6"/>
      <c r="AA793" s="6"/>
      <c r="AB793" s="6"/>
      <c r="AC793" s="6"/>
      <c r="AD793" s="6"/>
      <c r="AE793" s="75"/>
      <c r="AF793" s="45"/>
    </row>
    <row r="794" spans="2:32" customFormat="1" x14ac:dyDescent="0.25">
      <c r="B794" s="127"/>
      <c r="D794" s="234"/>
      <c r="E794" s="234"/>
      <c r="V794" s="262"/>
      <c r="W794" s="254"/>
      <c r="X794" s="254"/>
      <c r="Y794" s="154"/>
      <c r="Z794" s="6"/>
      <c r="AA794" s="6"/>
      <c r="AB794" s="6"/>
      <c r="AC794" s="6"/>
      <c r="AD794" s="6"/>
      <c r="AE794" s="75"/>
      <c r="AF794" s="45"/>
    </row>
    <row r="795" spans="2:32" customFormat="1" x14ac:dyDescent="0.25">
      <c r="B795" s="127"/>
      <c r="D795" s="234"/>
      <c r="E795" s="234"/>
      <c r="V795" s="262"/>
      <c r="W795" s="254"/>
      <c r="X795" s="254"/>
      <c r="Y795" s="154"/>
      <c r="Z795" s="6"/>
      <c r="AA795" s="6"/>
      <c r="AB795" s="6"/>
      <c r="AC795" s="6"/>
      <c r="AD795" s="6"/>
      <c r="AE795" s="75"/>
      <c r="AF795" s="45"/>
    </row>
    <row r="796" spans="2:32" customFormat="1" x14ac:dyDescent="0.25">
      <c r="B796" s="127"/>
      <c r="D796" s="234"/>
      <c r="E796" s="234"/>
      <c r="V796" s="262"/>
      <c r="W796" s="254"/>
      <c r="X796" s="254"/>
      <c r="Y796" s="154"/>
      <c r="Z796" s="6"/>
      <c r="AA796" s="6"/>
      <c r="AB796" s="6"/>
      <c r="AC796" s="6"/>
      <c r="AD796" s="6"/>
      <c r="AE796" s="75"/>
      <c r="AF796" s="45"/>
    </row>
    <row r="797" spans="2:32" customFormat="1" x14ac:dyDescent="0.25">
      <c r="B797" s="127"/>
      <c r="D797" s="234"/>
      <c r="E797" s="234"/>
      <c r="V797" s="262"/>
      <c r="W797" s="254"/>
      <c r="X797" s="254"/>
      <c r="Y797" s="154"/>
      <c r="Z797" s="6"/>
      <c r="AA797" s="6"/>
      <c r="AB797" s="6"/>
      <c r="AC797" s="6"/>
      <c r="AD797" s="6"/>
      <c r="AE797" s="75"/>
      <c r="AF797" s="45"/>
    </row>
    <row r="798" spans="2:32" customFormat="1" x14ac:dyDescent="0.25">
      <c r="B798" s="127"/>
      <c r="D798" s="234"/>
      <c r="E798" s="234"/>
      <c r="V798" s="262"/>
      <c r="W798" s="254"/>
      <c r="X798" s="254"/>
      <c r="Y798" s="154"/>
      <c r="Z798" s="6"/>
      <c r="AA798" s="6"/>
      <c r="AB798" s="6"/>
      <c r="AC798" s="6"/>
      <c r="AD798" s="6"/>
      <c r="AE798" s="75"/>
      <c r="AF798" s="45"/>
    </row>
    <row r="799" spans="2:32" customFormat="1" x14ac:dyDescent="0.25">
      <c r="B799" s="127"/>
      <c r="D799" s="234"/>
      <c r="E799" s="234"/>
      <c r="V799" s="262"/>
      <c r="W799" s="254"/>
      <c r="X799" s="254"/>
      <c r="Y799" s="154"/>
      <c r="Z799" s="6"/>
      <c r="AA799" s="6"/>
      <c r="AB799" s="6"/>
      <c r="AC799" s="6"/>
      <c r="AD799" s="6"/>
      <c r="AE799" s="75"/>
      <c r="AF799" s="45"/>
    </row>
    <row r="800" spans="2:32" customFormat="1" x14ac:dyDescent="0.25">
      <c r="B800" s="127"/>
      <c r="D800" s="234"/>
      <c r="E800" s="234"/>
      <c r="V800" s="262"/>
      <c r="W800" s="254"/>
      <c r="X800" s="254"/>
      <c r="Y800" s="154"/>
      <c r="Z800" s="6"/>
      <c r="AA800" s="6"/>
      <c r="AB800" s="6"/>
      <c r="AC800" s="6"/>
      <c r="AD800" s="6"/>
      <c r="AE800" s="75"/>
      <c r="AF800" s="45"/>
    </row>
    <row r="801" spans="2:32" customFormat="1" x14ac:dyDescent="0.25">
      <c r="B801" s="127"/>
      <c r="D801" s="234"/>
      <c r="E801" s="234"/>
      <c r="V801" s="262"/>
      <c r="W801" s="254"/>
      <c r="X801" s="254"/>
      <c r="Y801" s="154"/>
      <c r="Z801" s="6"/>
      <c r="AA801" s="6"/>
      <c r="AB801" s="6"/>
      <c r="AC801" s="6"/>
      <c r="AD801" s="6"/>
      <c r="AE801" s="75"/>
      <c r="AF801" s="45"/>
    </row>
    <row r="802" spans="2:32" customFormat="1" x14ac:dyDescent="0.25">
      <c r="B802" s="127"/>
      <c r="D802" s="234"/>
      <c r="E802" s="234"/>
      <c r="V802" s="262"/>
      <c r="W802" s="254"/>
      <c r="X802" s="254"/>
      <c r="Y802" s="154"/>
      <c r="Z802" s="6"/>
      <c r="AA802" s="6"/>
      <c r="AB802" s="6"/>
      <c r="AC802" s="6"/>
      <c r="AD802" s="6"/>
      <c r="AE802" s="75"/>
      <c r="AF802" s="45"/>
    </row>
    <row r="803" spans="2:32" customFormat="1" x14ac:dyDescent="0.25">
      <c r="B803" s="127"/>
      <c r="D803" s="234"/>
      <c r="E803" s="234"/>
      <c r="V803" s="262"/>
      <c r="W803" s="254"/>
      <c r="X803" s="254"/>
      <c r="Y803" s="154"/>
      <c r="Z803" s="6"/>
      <c r="AA803" s="6"/>
      <c r="AB803" s="6"/>
      <c r="AC803" s="6"/>
      <c r="AD803" s="6"/>
      <c r="AE803" s="75"/>
      <c r="AF803" s="45"/>
    </row>
    <row r="804" spans="2:32" customFormat="1" x14ac:dyDescent="0.25">
      <c r="B804" s="127"/>
      <c r="D804" s="234"/>
      <c r="E804" s="234"/>
      <c r="V804" s="262"/>
      <c r="W804" s="254"/>
      <c r="X804" s="254"/>
      <c r="Y804" s="154"/>
      <c r="Z804" s="6"/>
      <c r="AA804" s="6"/>
      <c r="AB804" s="6"/>
      <c r="AC804" s="6"/>
      <c r="AD804" s="6"/>
      <c r="AE804" s="75"/>
      <c r="AF804" s="45"/>
    </row>
    <row r="805" spans="2:32" customFormat="1" x14ac:dyDescent="0.25">
      <c r="B805" s="127"/>
      <c r="D805" s="234"/>
      <c r="E805" s="234"/>
      <c r="V805" s="262"/>
      <c r="W805" s="254"/>
      <c r="X805" s="254"/>
      <c r="Y805" s="154"/>
      <c r="Z805" s="6"/>
      <c r="AA805" s="6"/>
      <c r="AB805" s="6"/>
      <c r="AC805" s="6"/>
      <c r="AD805" s="6"/>
      <c r="AE805" s="75"/>
      <c r="AF805" s="45"/>
    </row>
    <row r="806" spans="2:32" customFormat="1" x14ac:dyDescent="0.25">
      <c r="B806" s="127"/>
      <c r="D806" s="234"/>
      <c r="E806" s="234"/>
      <c r="V806" s="262"/>
      <c r="W806" s="254"/>
      <c r="X806" s="254"/>
      <c r="Y806" s="154"/>
      <c r="Z806" s="6"/>
      <c r="AA806" s="6"/>
      <c r="AB806" s="6"/>
      <c r="AC806" s="6"/>
      <c r="AD806" s="6"/>
      <c r="AE806" s="75"/>
      <c r="AF806" s="45"/>
    </row>
    <row r="807" spans="2:32" customFormat="1" x14ac:dyDescent="0.25">
      <c r="B807" s="127"/>
      <c r="D807" s="234"/>
      <c r="E807" s="234"/>
      <c r="V807" s="262"/>
      <c r="W807" s="254"/>
      <c r="X807" s="254"/>
      <c r="Y807" s="154"/>
      <c r="Z807" s="6"/>
      <c r="AA807" s="6"/>
      <c r="AB807" s="6"/>
      <c r="AC807" s="6"/>
      <c r="AD807" s="6"/>
      <c r="AE807" s="75"/>
      <c r="AF807" s="45"/>
    </row>
    <row r="808" spans="2:32" customFormat="1" x14ac:dyDescent="0.25">
      <c r="B808" s="127"/>
      <c r="D808" s="234"/>
      <c r="E808" s="234"/>
      <c r="V808" s="262"/>
      <c r="W808" s="254"/>
      <c r="X808" s="254"/>
      <c r="Y808" s="154"/>
      <c r="Z808" s="6"/>
      <c r="AA808" s="6"/>
      <c r="AB808" s="6"/>
      <c r="AC808" s="6"/>
      <c r="AD808" s="6"/>
      <c r="AE808" s="75"/>
      <c r="AF808" s="45"/>
    </row>
    <row r="809" spans="2:32" customFormat="1" x14ac:dyDescent="0.25">
      <c r="B809" s="127"/>
      <c r="D809" s="234"/>
      <c r="E809" s="234"/>
      <c r="V809" s="262"/>
      <c r="W809" s="254"/>
      <c r="X809" s="254"/>
      <c r="Y809" s="154"/>
      <c r="Z809" s="6"/>
      <c r="AA809" s="6"/>
      <c r="AB809" s="6"/>
      <c r="AC809" s="6"/>
      <c r="AD809" s="6"/>
      <c r="AE809" s="75"/>
      <c r="AF809" s="45"/>
    </row>
    <row r="810" spans="2:32" customFormat="1" x14ac:dyDescent="0.25">
      <c r="B810" s="127"/>
      <c r="D810" s="234"/>
      <c r="E810" s="234"/>
      <c r="V810" s="262"/>
      <c r="W810" s="254"/>
      <c r="X810" s="254"/>
      <c r="Y810" s="154"/>
      <c r="Z810" s="6"/>
      <c r="AA810" s="6"/>
      <c r="AB810" s="6"/>
      <c r="AC810" s="6"/>
      <c r="AD810" s="6"/>
      <c r="AE810" s="75"/>
      <c r="AF810" s="45"/>
    </row>
    <row r="811" spans="2:32" customFormat="1" x14ac:dyDescent="0.25">
      <c r="B811" s="127"/>
      <c r="D811" s="234"/>
      <c r="E811" s="234"/>
      <c r="V811" s="262"/>
      <c r="W811" s="254"/>
      <c r="X811" s="254"/>
      <c r="Y811" s="154"/>
      <c r="Z811" s="6"/>
      <c r="AA811" s="6"/>
      <c r="AB811" s="6"/>
      <c r="AC811" s="6"/>
      <c r="AD811" s="6"/>
      <c r="AE811" s="75"/>
      <c r="AF811" s="45"/>
    </row>
    <row r="812" spans="2:32" customFormat="1" x14ac:dyDescent="0.25">
      <c r="B812" s="127"/>
      <c r="D812" s="234"/>
      <c r="E812" s="234"/>
      <c r="V812" s="262"/>
      <c r="W812" s="254"/>
      <c r="X812" s="254"/>
      <c r="Y812" s="154"/>
      <c r="Z812" s="6"/>
      <c r="AA812" s="6"/>
      <c r="AB812" s="6"/>
      <c r="AC812" s="6"/>
      <c r="AD812" s="6"/>
      <c r="AE812" s="75"/>
      <c r="AF812" s="45"/>
    </row>
    <row r="813" spans="2:32" customFormat="1" x14ac:dyDescent="0.25">
      <c r="B813" s="127"/>
      <c r="D813" s="234"/>
      <c r="E813" s="234"/>
      <c r="V813" s="262"/>
      <c r="W813" s="254"/>
      <c r="X813" s="254"/>
      <c r="Y813" s="154"/>
      <c r="Z813" s="6"/>
      <c r="AA813" s="6"/>
      <c r="AB813" s="6"/>
      <c r="AC813" s="6"/>
      <c r="AD813" s="6"/>
      <c r="AE813" s="75"/>
      <c r="AF813" s="45"/>
    </row>
    <row r="814" spans="2:32" customFormat="1" x14ac:dyDescent="0.25">
      <c r="B814" s="127"/>
      <c r="D814" s="234"/>
      <c r="E814" s="234"/>
      <c r="V814" s="262"/>
      <c r="W814" s="254"/>
      <c r="X814" s="254"/>
      <c r="Y814" s="154"/>
      <c r="Z814" s="6"/>
      <c r="AA814" s="6"/>
      <c r="AB814" s="6"/>
      <c r="AC814" s="6"/>
      <c r="AD814" s="6"/>
      <c r="AE814" s="75"/>
      <c r="AF814" s="45"/>
    </row>
    <row r="815" spans="2:32" customFormat="1" x14ac:dyDescent="0.25">
      <c r="B815" s="127"/>
      <c r="D815" s="234"/>
      <c r="E815" s="234"/>
      <c r="V815" s="262"/>
      <c r="W815" s="254"/>
      <c r="X815" s="254"/>
      <c r="Y815" s="154"/>
      <c r="Z815" s="6"/>
      <c r="AA815" s="6"/>
      <c r="AB815" s="6"/>
      <c r="AC815" s="6"/>
      <c r="AD815" s="6"/>
      <c r="AE815" s="75"/>
      <c r="AF815" s="45"/>
    </row>
    <row r="816" spans="2:32" customFormat="1" x14ac:dyDescent="0.25">
      <c r="B816" s="127"/>
      <c r="D816" s="234"/>
      <c r="E816" s="234"/>
      <c r="V816" s="262"/>
      <c r="W816" s="254"/>
      <c r="X816" s="254"/>
      <c r="Y816" s="154"/>
      <c r="Z816" s="6"/>
      <c r="AA816" s="6"/>
      <c r="AB816" s="6"/>
      <c r="AC816" s="6"/>
      <c r="AD816" s="6"/>
      <c r="AE816" s="75"/>
      <c r="AF816" s="45"/>
    </row>
    <row r="817" spans="2:32" customFormat="1" x14ac:dyDescent="0.25">
      <c r="B817" s="127"/>
      <c r="D817" s="234"/>
      <c r="E817" s="234"/>
      <c r="V817" s="262"/>
      <c r="W817" s="254"/>
      <c r="X817" s="254"/>
      <c r="Y817" s="154"/>
      <c r="Z817" s="6"/>
      <c r="AA817" s="6"/>
      <c r="AB817" s="6"/>
      <c r="AC817" s="6"/>
      <c r="AD817" s="6"/>
      <c r="AE817" s="75"/>
      <c r="AF817" s="45"/>
    </row>
    <row r="818" spans="2:32" customFormat="1" x14ac:dyDescent="0.25">
      <c r="B818" s="127"/>
      <c r="D818" s="234"/>
      <c r="E818" s="234"/>
      <c r="V818" s="262"/>
      <c r="W818" s="254"/>
      <c r="X818" s="254"/>
      <c r="Y818" s="154"/>
      <c r="Z818" s="6"/>
      <c r="AA818" s="6"/>
      <c r="AB818" s="6"/>
      <c r="AC818" s="6"/>
      <c r="AD818" s="6"/>
      <c r="AE818" s="75"/>
      <c r="AF818" s="45"/>
    </row>
    <row r="819" spans="2:32" customFormat="1" x14ac:dyDescent="0.25">
      <c r="B819" s="127"/>
      <c r="D819" s="234"/>
      <c r="E819" s="234"/>
      <c r="V819" s="262"/>
      <c r="W819" s="254"/>
      <c r="X819" s="254"/>
      <c r="Y819" s="154"/>
      <c r="Z819" s="6"/>
      <c r="AA819" s="6"/>
      <c r="AB819" s="6"/>
      <c r="AC819" s="6"/>
      <c r="AD819" s="6"/>
      <c r="AE819" s="75"/>
      <c r="AF819" s="45"/>
    </row>
    <row r="820" spans="2:32" customFormat="1" x14ac:dyDescent="0.25">
      <c r="B820" s="127"/>
      <c r="D820" s="234"/>
      <c r="E820" s="234"/>
      <c r="V820" s="262"/>
      <c r="W820" s="254"/>
      <c r="X820" s="254"/>
      <c r="Y820" s="154"/>
      <c r="Z820" s="6"/>
      <c r="AA820" s="6"/>
      <c r="AB820" s="6"/>
      <c r="AC820" s="6"/>
      <c r="AD820" s="6"/>
      <c r="AE820" s="75"/>
      <c r="AF820" s="45"/>
    </row>
    <row r="821" spans="2:32" customFormat="1" x14ac:dyDescent="0.25">
      <c r="B821" s="127"/>
      <c r="D821" s="234"/>
      <c r="E821" s="234"/>
      <c r="V821" s="262"/>
      <c r="W821" s="254"/>
      <c r="X821" s="254"/>
      <c r="Y821" s="154"/>
      <c r="Z821" s="6"/>
      <c r="AA821" s="6"/>
      <c r="AB821" s="6"/>
      <c r="AC821" s="6"/>
      <c r="AD821" s="6"/>
      <c r="AE821" s="75"/>
      <c r="AF821" s="45"/>
    </row>
    <row r="822" spans="2:32" customFormat="1" x14ac:dyDescent="0.25">
      <c r="B822" s="127"/>
      <c r="D822" s="234"/>
      <c r="E822" s="234"/>
      <c r="V822" s="262"/>
      <c r="W822" s="254"/>
      <c r="X822" s="254"/>
      <c r="Y822" s="154"/>
      <c r="Z822" s="6"/>
      <c r="AA822" s="6"/>
      <c r="AB822" s="6"/>
      <c r="AC822" s="6"/>
      <c r="AD822" s="6"/>
      <c r="AE822" s="75"/>
      <c r="AF822" s="45"/>
    </row>
    <row r="823" spans="2:32" customFormat="1" x14ac:dyDescent="0.25">
      <c r="B823" s="127"/>
      <c r="D823" s="234"/>
      <c r="E823" s="234"/>
      <c r="V823" s="262"/>
      <c r="W823" s="254"/>
      <c r="X823" s="254"/>
      <c r="Y823" s="154"/>
      <c r="Z823" s="6"/>
      <c r="AA823" s="6"/>
      <c r="AB823" s="6"/>
      <c r="AC823" s="6"/>
      <c r="AD823" s="6"/>
      <c r="AE823" s="75"/>
      <c r="AF823" s="45"/>
    </row>
    <row r="824" spans="2:32" customFormat="1" x14ac:dyDescent="0.25">
      <c r="B824" s="127"/>
      <c r="D824" s="234"/>
      <c r="E824" s="234"/>
      <c r="V824" s="262"/>
      <c r="W824" s="254"/>
      <c r="X824" s="254"/>
      <c r="Y824" s="154"/>
      <c r="Z824" s="6"/>
      <c r="AA824" s="6"/>
      <c r="AB824" s="6"/>
      <c r="AC824" s="6"/>
      <c r="AD824" s="6"/>
      <c r="AE824" s="75"/>
      <c r="AF824" s="45"/>
    </row>
    <row r="825" spans="2:32" customFormat="1" x14ac:dyDescent="0.25">
      <c r="B825" s="127"/>
      <c r="D825" s="234"/>
      <c r="E825" s="234"/>
      <c r="V825" s="262"/>
      <c r="W825" s="254"/>
      <c r="X825" s="254"/>
      <c r="Y825" s="154"/>
      <c r="Z825" s="6"/>
      <c r="AA825" s="6"/>
      <c r="AB825" s="6"/>
      <c r="AC825" s="6"/>
      <c r="AD825" s="6"/>
      <c r="AE825" s="75"/>
      <c r="AF825" s="45"/>
    </row>
    <row r="826" spans="2:32" customFormat="1" x14ac:dyDescent="0.25">
      <c r="B826" s="127"/>
      <c r="D826" s="234"/>
      <c r="E826" s="234"/>
      <c r="V826" s="262"/>
      <c r="W826" s="254"/>
      <c r="X826" s="254"/>
      <c r="Y826" s="154"/>
      <c r="Z826" s="6"/>
      <c r="AA826" s="6"/>
      <c r="AB826" s="6"/>
      <c r="AC826" s="6"/>
      <c r="AD826" s="6"/>
      <c r="AE826" s="75"/>
      <c r="AF826" s="45"/>
    </row>
    <row r="827" spans="2:32" customFormat="1" x14ac:dyDescent="0.25">
      <c r="B827" s="127"/>
      <c r="D827" s="234"/>
      <c r="E827" s="234"/>
      <c r="V827" s="262"/>
      <c r="W827" s="254"/>
      <c r="X827" s="254"/>
      <c r="Y827" s="154"/>
      <c r="Z827" s="6"/>
      <c r="AA827" s="6"/>
      <c r="AB827" s="6"/>
      <c r="AC827" s="6"/>
      <c r="AD827" s="6"/>
      <c r="AE827" s="75"/>
      <c r="AF827" s="45"/>
    </row>
    <row r="828" spans="2:32" customFormat="1" x14ac:dyDescent="0.25">
      <c r="B828" s="127"/>
      <c r="D828" s="234"/>
      <c r="E828" s="234"/>
      <c r="V828" s="262"/>
      <c r="W828" s="254"/>
      <c r="X828" s="254"/>
      <c r="Y828" s="154"/>
      <c r="Z828" s="6"/>
      <c r="AA828" s="6"/>
      <c r="AB828" s="6"/>
      <c r="AC828" s="6"/>
      <c r="AD828" s="6"/>
      <c r="AE828" s="75"/>
      <c r="AF828" s="45"/>
    </row>
    <row r="829" spans="2:32" customFormat="1" x14ac:dyDescent="0.25">
      <c r="B829" s="127"/>
      <c r="D829" s="234"/>
      <c r="E829" s="234"/>
      <c r="V829" s="262"/>
      <c r="W829" s="254"/>
      <c r="X829" s="254"/>
      <c r="Y829" s="154"/>
      <c r="Z829" s="6"/>
      <c r="AA829" s="6"/>
      <c r="AB829" s="6"/>
      <c r="AC829" s="6"/>
      <c r="AD829" s="6"/>
      <c r="AE829" s="75"/>
      <c r="AF829" s="45"/>
    </row>
    <row r="830" spans="2:32" customFormat="1" x14ac:dyDescent="0.25">
      <c r="B830" s="127"/>
      <c r="D830" s="234"/>
      <c r="E830" s="234"/>
      <c r="V830" s="262"/>
      <c r="W830" s="254"/>
      <c r="X830" s="254"/>
      <c r="Y830" s="154"/>
      <c r="Z830" s="6"/>
      <c r="AA830" s="6"/>
      <c r="AB830" s="6"/>
      <c r="AC830" s="6"/>
      <c r="AD830" s="6"/>
      <c r="AE830" s="75"/>
      <c r="AF830" s="45"/>
    </row>
    <row r="831" spans="2:32" customFormat="1" x14ac:dyDescent="0.25">
      <c r="B831" s="127"/>
      <c r="D831" s="234"/>
      <c r="E831" s="234"/>
      <c r="V831" s="262"/>
      <c r="W831" s="254"/>
      <c r="X831" s="254"/>
      <c r="Y831" s="154"/>
      <c r="Z831" s="6"/>
      <c r="AA831" s="6"/>
      <c r="AB831" s="6"/>
      <c r="AC831" s="6"/>
      <c r="AD831" s="6"/>
      <c r="AE831" s="75"/>
      <c r="AF831" s="45"/>
    </row>
    <row r="832" spans="2:32" customFormat="1" x14ac:dyDescent="0.25">
      <c r="B832" s="127"/>
      <c r="D832" s="234"/>
      <c r="E832" s="234"/>
      <c r="V832" s="262"/>
      <c r="W832" s="254"/>
      <c r="X832" s="254"/>
      <c r="Y832" s="154"/>
      <c r="Z832" s="6"/>
      <c r="AA832" s="6"/>
      <c r="AB832" s="6"/>
      <c r="AC832" s="6"/>
      <c r="AD832" s="6"/>
      <c r="AE832" s="75"/>
      <c r="AF832" s="45"/>
    </row>
    <row r="833" spans="2:32" customFormat="1" x14ac:dyDescent="0.25">
      <c r="B833" s="127"/>
      <c r="D833" s="234"/>
      <c r="E833" s="234"/>
      <c r="V833" s="262"/>
      <c r="W833" s="254"/>
      <c r="X833" s="254"/>
      <c r="Y833" s="154"/>
      <c r="Z833" s="6"/>
      <c r="AA833" s="6"/>
      <c r="AB833" s="6"/>
      <c r="AC833" s="6"/>
      <c r="AD833" s="6"/>
      <c r="AE833" s="75"/>
      <c r="AF833" s="45"/>
    </row>
    <row r="834" spans="2:32" customFormat="1" x14ac:dyDescent="0.25">
      <c r="B834" s="127"/>
      <c r="D834" s="234"/>
      <c r="E834" s="234"/>
      <c r="V834" s="262"/>
      <c r="W834" s="254"/>
      <c r="X834" s="254"/>
      <c r="Y834" s="154"/>
      <c r="Z834" s="6"/>
      <c r="AA834" s="6"/>
      <c r="AB834" s="6"/>
      <c r="AC834" s="6"/>
      <c r="AD834" s="6"/>
      <c r="AE834" s="75"/>
      <c r="AF834" s="45"/>
    </row>
    <row r="835" spans="2:32" customFormat="1" x14ac:dyDescent="0.25">
      <c r="B835" s="127"/>
      <c r="D835" s="234"/>
      <c r="E835" s="234"/>
      <c r="V835" s="262"/>
      <c r="W835" s="254"/>
      <c r="X835" s="254"/>
      <c r="Y835" s="154"/>
      <c r="Z835" s="6"/>
      <c r="AA835" s="6"/>
      <c r="AB835" s="6"/>
      <c r="AC835" s="6"/>
      <c r="AD835" s="6"/>
      <c r="AE835" s="75"/>
      <c r="AF835" s="45"/>
    </row>
    <row r="836" spans="2:32" customFormat="1" x14ac:dyDescent="0.25">
      <c r="B836" s="127"/>
      <c r="D836" s="234"/>
      <c r="E836" s="234"/>
      <c r="V836" s="262"/>
      <c r="W836" s="254"/>
      <c r="X836" s="254"/>
      <c r="Y836" s="154"/>
      <c r="Z836" s="6"/>
      <c r="AA836" s="6"/>
      <c r="AB836" s="6"/>
      <c r="AC836" s="6"/>
      <c r="AD836" s="6"/>
      <c r="AE836" s="75"/>
      <c r="AF836" s="45"/>
    </row>
    <row r="837" spans="2:32" customFormat="1" x14ac:dyDescent="0.25">
      <c r="B837" s="127"/>
      <c r="D837" s="234"/>
      <c r="E837" s="234"/>
      <c r="V837" s="262"/>
      <c r="W837" s="254"/>
      <c r="X837" s="254"/>
      <c r="Y837" s="154"/>
      <c r="Z837" s="6"/>
      <c r="AA837" s="6"/>
      <c r="AB837" s="6"/>
      <c r="AC837" s="6"/>
      <c r="AD837" s="6"/>
      <c r="AE837" s="75"/>
      <c r="AF837" s="45"/>
    </row>
    <row r="838" spans="2:32" customFormat="1" x14ac:dyDescent="0.25">
      <c r="B838" s="127"/>
      <c r="D838" s="234"/>
      <c r="E838" s="234"/>
      <c r="V838" s="262"/>
      <c r="W838" s="254"/>
      <c r="X838" s="254"/>
      <c r="Y838" s="154"/>
      <c r="Z838" s="6"/>
      <c r="AA838" s="6"/>
      <c r="AB838" s="6"/>
      <c r="AC838" s="6"/>
      <c r="AD838" s="6"/>
      <c r="AE838" s="75"/>
      <c r="AF838" s="45"/>
    </row>
    <row r="839" spans="2:32" customFormat="1" x14ac:dyDescent="0.25">
      <c r="B839" s="127"/>
      <c r="D839" s="234"/>
      <c r="E839" s="234"/>
      <c r="V839" s="262"/>
      <c r="W839" s="254"/>
      <c r="X839" s="254"/>
      <c r="Y839" s="154"/>
      <c r="Z839" s="6"/>
      <c r="AA839" s="6"/>
      <c r="AB839" s="6"/>
      <c r="AC839" s="6"/>
      <c r="AD839" s="6"/>
      <c r="AE839" s="75"/>
      <c r="AF839" s="45"/>
    </row>
    <row r="840" spans="2:32" customFormat="1" x14ac:dyDescent="0.25">
      <c r="B840" s="127"/>
      <c r="D840" s="234"/>
      <c r="E840" s="234"/>
      <c r="V840" s="262"/>
      <c r="W840" s="254"/>
      <c r="X840" s="254"/>
      <c r="Y840" s="154"/>
      <c r="Z840" s="6"/>
      <c r="AA840" s="6"/>
      <c r="AB840" s="6"/>
      <c r="AC840" s="6"/>
      <c r="AD840" s="6"/>
      <c r="AE840" s="75"/>
      <c r="AF840" s="45"/>
    </row>
    <row r="841" spans="2:32" customFormat="1" x14ac:dyDescent="0.25">
      <c r="B841" s="127"/>
      <c r="D841" s="234"/>
      <c r="E841" s="234"/>
      <c r="V841" s="262"/>
      <c r="W841" s="254"/>
      <c r="X841" s="254"/>
      <c r="Y841" s="154"/>
      <c r="Z841" s="6"/>
      <c r="AA841" s="6"/>
      <c r="AB841" s="6"/>
      <c r="AC841" s="6"/>
      <c r="AD841" s="6"/>
      <c r="AE841" s="75"/>
      <c r="AF841" s="45"/>
    </row>
    <row r="842" spans="2:32" customFormat="1" x14ac:dyDescent="0.25">
      <c r="B842" s="127"/>
      <c r="D842" s="234"/>
      <c r="E842" s="234"/>
      <c r="V842" s="262"/>
      <c r="W842" s="254"/>
      <c r="X842" s="254"/>
      <c r="Y842" s="154"/>
      <c r="Z842" s="6"/>
      <c r="AA842" s="6"/>
      <c r="AB842" s="6"/>
      <c r="AC842" s="6"/>
      <c r="AD842" s="6"/>
      <c r="AE842" s="75"/>
      <c r="AF842" s="45"/>
    </row>
    <row r="843" spans="2:32" customFormat="1" x14ac:dyDescent="0.25">
      <c r="B843" s="127"/>
      <c r="D843" s="234"/>
      <c r="E843" s="234"/>
      <c r="V843" s="262"/>
      <c r="W843" s="254"/>
      <c r="X843" s="254"/>
      <c r="Y843" s="154"/>
      <c r="Z843" s="6"/>
      <c r="AA843" s="6"/>
      <c r="AB843" s="6"/>
      <c r="AC843" s="6"/>
      <c r="AD843" s="6"/>
      <c r="AE843" s="75"/>
      <c r="AF843" s="45"/>
    </row>
    <row r="844" spans="2:32" customFormat="1" x14ac:dyDescent="0.25">
      <c r="B844" s="127"/>
      <c r="D844" s="234"/>
      <c r="E844" s="234"/>
      <c r="V844" s="262"/>
      <c r="W844" s="254"/>
      <c r="X844" s="254"/>
      <c r="Y844" s="154"/>
      <c r="Z844" s="6"/>
      <c r="AA844" s="6"/>
      <c r="AB844" s="6"/>
      <c r="AC844" s="6"/>
      <c r="AD844" s="6"/>
      <c r="AE844" s="75"/>
      <c r="AF844" s="45"/>
    </row>
    <row r="845" spans="2:32" customFormat="1" x14ac:dyDescent="0.25">
      <c r="B845" s="127"/>
      <c r="D845" s="234"/>
      <c r="E845" s="234"/>
      <c r="V845" s="262"/>
      <c r="W845" s="254"/>
      <c r="X845" s="254"/>
      <c r="Y845" s="154"/>
      <c r="Z845" s="6"/>
      <c r="AA845" s="6"/>
      <c r="AB845" s="6"/>
      <c r="AC845" s="6"/>
      <c r="AD845" s="6"/>
      <c r="AE845" s="75"/>
      <c r="AF845" s="45"/>
    </row>
    <row r="846" spans="2:32" customFormat="1" x14ac:dyDescent="0.25">
      <c r="B846" s="127"/>
      <c r="D846" s="234"/>
      <c r="E846" s="234"/>
      <c r="V846" s="262"/>
      <c r="W846" s="254"/>
      <c r="X846" s="254"/>
      <c r="Y846" s="154"/>
      <c r="Z846" s="6"/>
      <c r="AA846" s="6"/>
      <c r="AB846" s="6"/>
      <c r="AC846" s="6"/>
      <c r="AD846" s="6"/>
      <c r="AE846" s="75"/>
      <c r="AF846" s="45"/>
    </row>
    <row r="847" spans="2:32" customFormat="1" x14ac:dyDescent="0.25">
      <c r="B847" s="127"/>
      <c r="D847" s="234"/>
      <c r="E847" s="234"/>
      <c r="V847" s="262"/>
      <c r="W847" s="254"/>
      <c r="X847" s="254"/>
      <c r="Y847" s="154"/>
      <c r="Z847" s="6"/>
      <c r="AA847" s="6"/>
      <c r="AB847" s="6"/>
      <c r="AC847" s="6"/>
      <c r="AD847" s="6"/>
      <c r="AE847" s="75"/>
      <c r="AF847" s="45"/>
    </row>
    <row r="848" spans="2:32" customFormat="1" x14ac:dyDescent="0.25">
      <c r="B848" s="127"/>
      <c r="D848" s="234"/>
      <c r="E848" s="234"/>
      <c r="V848" s="262"/>
      <c r="W848" s="254"/>
      <c r="X848" s="254"/>
      <c r="Y848" s="154"/>
      <c r="Z848" s="6"/>
      <c r="AA848" s="6"/>
      <c r="AB848" s="6"/>
      <c r="AC848" s="6"/>
      <c r="AD848" s="6"/>
      <c r="AE848" s="75"/>
      <c r="AF848" s="45"/>
    </row>
    <row r="849" spans="2:32" customFormat="1" x14ac:dyDescent="0.25">
      <c r="B849" s="127"/>
      <c r="D849" s="234"/>
      <c r="E849" s="234"/>
      <c r="V849" s="262"/>
      <c r="W849" s="254"/>
      <c r="X849" s="254"/>
      <c r="Y849" s="154"/>
      <c r="Z849" s="6"/>
      <c r="AA849" s="6"/>
      <c r="AB849" s="6"/>
      <c r="AC849" s="6"/>
      <c r="AD849" s="6"/>
      <c r="AE849" s="75"/>
      <c r="AF849" s="45"/>
    </row>
    <row r="850" spans="2:32" customFormat="1" x14ac:dyDescent="0.25">
      <c r="B850" s="127"/>
      <c r="D850" s="234"/>
      <c r="E850" s="234"/>
      <c r="V850" s="262"/>
      <c r="W850" s="254"/>
      <c r="X850" s="254"/>
      <c r="Y850" s="154"/>
      <c r="Z850" s="6"/>
      <c r="AA850" s="6"/>
      <c r="AB850" s="6"/>
      <c r="AC850" s="6"/>
      <c r="AD850" s="6"/>
      <c r="AE850" s="75"/>
      <c r="AF850" s="45"/>
    </row>
    <row r="851" spans="2:32" customFormat="1" x14ac:dyDescent="0.25">
      <c r="B851" s="127"/>
      <c r="D851" s="234"/>
      <c r="E851" s="234"/>
      <c r="V851" s="262"/>
      <c r="W851" s="254"/>
      <c r="X851" s="254"/>
      <c r="Y851" s="154"/>
      <c r="Z851" s="6"/>
      <c r="AA851" s="6"/>
      <c r="AB851" s="6"/>
      <c r="AC851" s="6"/>
      <c r="AD851" s="6"/>
      <c r="AE851" s="75"/>
      <c r="AF851" s="45"/>
    </row>
    <row r="852" spans="2:32" customFormat="1" x14ac:dyDescent="0.25">
      <c r="B852" s="127"/>
      <c r="D852" s="234"/>
      <c r="E852" s="234"/>
      <c r="V852" s="262"/>
      <c r="W852" s="254"/>
      <c r="X852" s="254"/>
      <c r="Y852" s="154"/>
      <c r="Z852" s="6"/>
      <c r="AA852" s="6"/>
      <c r="AB852" s="6"/>
      <c r="AC852" s="6"/>
      <c r="AD852" s="6"/>
      <c r="AE852" s="75"/>
      <c r="AF852" s="45"/>
    </row>
    <row r="853" spans="2:32" customFormat="1" x14ac:dyDescent="0.25">
      <c r="B853" s="127"/>
      <c r="D853" s="234"/>
      <c r="E853" s="234"/>
      <c r="V853" s="262"/>
      <c r="W853" s="254"/>
      <c r="X853" s="254"/>
      <c r="Y853" s="154"/>
      <c r="Z853" s="6"/>
      <c r="AA853" s="6"/>
      <c r="AB853" s="6"/>
      <c r="AC853" s="6"/>
      <c r="AD853" s="6"/>
      <c r="AE853" s="75"/>
      <c r="AF853" s="45"/>
    </row>
    <row r="854" spans="2:32" customFormat="1" x14ac:dyDescent="0.25">
      <c r="B854" s="127"/>
      <c r="D854" s="234"/>
      <c r="E854" s="234"/>
      <c r="V854" s="262"/>
      <c r="W854" s="254"/>
      <c r="X854" s="254"/>
      <c r="Y854" s="154"/>
      <c r="Z854" s="6"/>
      <c r="AA854" s="6"/>
      <c r="AB854" s="6"/>
      <c r="AC854" s="6"/>
      <c r="AD854" s="6"/>
      <c r="AE854" s="75"/>
      <c r="AF854" s="45"/>
    </row>
    <row r="855" spans="2:32" customFormat="1" x14ac:dyDescent="0.25">
      <c r="B855" s="127"/>
      <c r="D855" s="234"/>
      <c r="E855" s="234"/>
      <c r="V855" s="262"/>
      <c r="W855" s="254"/>
      <c r="X855" s="254"/>
      <c r="Y855" s="154"/>
      <c r="Z855" s="6"/>
      <c r="AA855" s="6"/>
      <c r="AB855" s="6"/>
      <c r="AC855" s="6"/>
      <c r="AD855" s="6"/>
      <c r="AE855" s="75"/>
      <c r="AF855" s="45"/>
    </row>
    <row r="856" spans="2:32" customFormat="1" x14ac:dyDescent="0.25">
      <c r="B856" s="127"/>
      <c r="D856" s="234"/>
      <c r="E856" s="234"/>
      <c r="V856" s="262"/>
      <c r="W856" s="254"/>
      <c r="X856" s="254"/>
      <c r="Y856" s="154"/>
      <c r="Z856" s="6"/>
      <c r="AA856" s="6"/>
      <c r="AB856" s="6"/>
      <c r="AC856" s="6"/>
      <c r="AD856" s="6"/>
      <c r="AE856" s="75"/>
      <c r="AF856" s="45"/>
    </row>
    <row r="857" spans="2:32" customFormat="1" x14ac:dyDescent="0.25">
      <c r="B857" s="127"/>
      <c r="D857" s="234"/>
      <c r="E857" s="234"/>
      <c r="V857" s="262"/>
      <c r="W857" s="254"/>
      <c r="X857" s="254"/>
      <c r="Y857" s="154"/>
      <c r="Z857" s="6"/>
      <c r="AA857" s="6"/>
      <c r="AB857" s="6"/>
      <c r="AC857" s="6"/>
      <c r="AD857" s="6"/>
      <c r="AE857" s="75"/>
      <c r="AF857" s="45"/>
    </row>
    <row r="858" spans="2:32" customFormat="1" x14ac:dyDescent="0.25">
      <c r="B858" s="127"/>
      <c r="D858" s="234"/>
      <c r="E858" s="234"/>
      <c r="V858" s="262"/>
      <c r="W858" s="254"/>
      <c r="X858" s="254"/>
      <c r="Y858" s="154"/>
      <c r="Z858" s="6"/>
      <c r="AA858" s="6"/>
      <c r="AB858" s="6"/>
      <c r="AC858" s="6"/>
      <c r="AD858" s="6"/>
      <c r="AE858" s="75"/>
      <c r="AF858" s="45"/>
    </row>
    <row r="859" spans="2:32" customFormat="1" x14ac:dyDescent="0.25">
      <c r="B859" s="127"/>
      <c r="D859" s="234"/>
      <c r="E859" s="234"/>
      <c r="V859" s="262"/>
      <c r="W859" s="254"/>
      <c r="X859" s="254"/>
      <c r="Y859" s="154"/>
      <c r="Z859" s="6"/>
      <c r="AA859" s="6"/>
      <c r="AB859" s="6"/>
      <c r="AC859" s="6"/>
      <c r="AD859" s="6"/>
      <c r="AE859" s="75"/>
      <c r="AF859" s="45"/>
    </row>
    <row r="860" spans="2:32" customFormat="1" x14ac:dyDescent="0.25">
      <c r="B860" s="127"/>
      <c r="D860" s="234"/>
      <c r="E860" s="234"/>
      <c r="V860" s="262"/>
      <c r="W860" s="254"/>
      <c r="X860" s="254"/>
      <c r="Y860" s="154"/>
      <c r="Z860" s="6"/>
      <c r="AA860" s="6"/>
      <c r="AB860" s="6"/>
      <c r="AC860" s="6"/>
      <c r="AD860" s="6"/>
      <c r="AE860" s="75"/>
      <c r="AF860" s="45"/>
    </row>
    <row r="861" spans="2:32" customFormat="1" x14ac:dyDescent="0.25">
      <c r="B861" s="127"/>
      <c r="D861" s="234"/>
      <c r="E861" s="234"/>
      <c r="V861" s="262"/>
      <c r="W861" s="254"/>
      <c r="X861" s="254"/>
      <c r="Y861" s="154"/>
      <c r="Z861" s="6"/>
      <c r="AA861" s="6"/>
      <c r="AB861" s="6"/>
      <c r="AC861" s="6"/>
      <c r="AD861" s="6"/>
      <c r="AE861" s="75"/>
      <c r="AF861" s="45"/>
    </row>
    <row r="862" spans="2:32" customFormat="1" x14ac:dyDescent="0.25">
      <c r="B862" s="127"/>
      <c r="D862" s="234"/>
      <c r="E862" s="234"/>
      <c r="V862" s="262"/>
      <c r="W862" s="254"/>
      <c r="X862" s="254"/>
      <c r="Y862" s="154"/>
      <c r="Z862" s="6"/>
      <c r="AA862" s="6"/>
      <c r="AB862" s="6"/>
      <c r="AC862" s="6"/>
      <c r="AD862" s="6"/>
      <c r="AE862" s="75"/>
      <c r="AF862" s="45"/>
    </row>
    <row r="863" spans="2:32" customFormat="1" x14ac:dyDescent="0.25">
      <c r="B863" s="127"/>
      <c r="D863" s="234"/>
      <c r="E863" s="234"/>
      <c r="V863" s="262"/>
      <c r="W863" s="254"/>
      <c r="X863" s="254"/>
      <c r="Y863" s="154"/>
      <c r="Z863" s="6"/>
      <c r="AA863" s="6"/>
      <c r="AB863" s="6"/>
      <c r="AC863" s="6"/>
      <c r="AD863" s="6"/>
      <c r="AE863" s="75"/>
      <c r="AF863" s="45"/>
    </row>
    <row r="864" spans="2:32" customFormat="1" x14ac:dyDescent="0.25">
      <c r="B864" s="127"/>
      <c r="D864" s="234"/>
      <c r="E864" s="234"/>
      <c r="V864" s="262"/>
      <c r="W864" s="254"/>
      <c r="X864" s="254"/>
      <c r="Y864" s="154"/>
      <c r="Z864" s="6"/>
      <c r="AA864" s="6"/>
      <c r="AB864" s="6"/>
      <c r="AC864" s="6"/>
      <c r="AD864" s="6"/>
      <c r="AE864" s="75"/>
      <c r="AF864" s="45"/>
    </row>
    <row r="865" spans="2:32" customFormat="1" x14ac:dyDescent="0.25">
      <c r="B865" s="127"/>
      <c r="D865" s="234"/>
      <c r="E865" s="234"/>
      <c r="V865" s="262"/>
      <c r="W865" s="254"/>
      <c r="X865" s="254"/>
      <c r="Y865" s="154"/>
      <c r="Z865" s="6"/>
      <c r="AA865" s="6"/>
      <c r="AB865" s="6"/>
      <c r="AC865" s="6"/>
      <c r="AD865" s="6"/>
      <c r="AE865" s="75"/>
      <c r="AF865" s="45"/>
    </row>
    <row r="866" spans="2:32" customFormat="1" x14ac:dyDescent="0.25">
      <c r="B866" s="127"/>
      <c r="D866" s="234"/>
      <c r="E866" s="234"/>
      <c r="V866" s="262"/>
      <c r="W866" s="254"/>
      <c r="X866" s="254"/>
      <c r="Y866" s="154"/>
      <c r="Z866" s="6"/>
      <c r="AA866" s="6"/>
      <c r="AB866" s="6"/>
      <c r="AC866" s="6"/>
      <c r="AD866" s="6"/>
      <c r="AE866" s="75"/>
      <c r="AF866" s="45"/>
    </row>
    <row r="867" spans="2:32" customFormat="1" x14ac:dyDescent="0.25">
      <c r="B867" s="127"/>
      <c r="D867" s="234"/>
      <c r="E867" s="234"/>
      <c r="V867" s="262"/>
      <c r="W867" s="254"/>
      <c r="X867" s="254"/>
      <c r="Y867" s="154"/>
      <c r="Z867" s="6"/>
      <c r="AA867" s="6"/>
      <c r="AB867" s="6"/>
      <c r="AC867" s="6"/>
      <c r="AD867" s="6"/>
      <c r="AE867" s="75"/>
      <c r="AF867" s="45"/>
    </row>
    <row r="868" spans="2:32" customFormat="1" x14ac:dyDescent="0.25">
      <c r="B868" s="127"/>
      <c r="D868" s="234"/>
      <c r="E868" s="234"/>
      <c r="V868" s="262"/>
      <c r="W868" s="254"/>
      <c r="X868" s="254"/>
      <c r="Y868" s="154"/>
      <c r="Z868" s="6"/>
      <c r="AA868" s="6"/>
      <c r="AB868" s="6"/>
      <c r="AC868" s="6"/>
      <c r="AD868" s="6"/>
      <c r="AE868" s="75"/>
      <c r="AF868" s="45"/>
    </row>
    <row r="869" spans="2:32" customFormat="1" x14ac:dyDescent="0.25">
      <c r="B869" s="127"/>
      <c r="D869" s="234"/>
      <c r="E869" s="234"/>
      <c r="V869" s="262"/>
      <c r="W869" s="254"/>
      <c r="X869" s="254"/>
      <c r="Y869" s="154"/>
      <c r="Z869" s="6"/>
      <c r="AA869" s="6"/>
      <c r="AB869" s="6"/>
      <c r="AC869" s="6"/>
      <c r="AD869" s="6"/>
      <c r="AE869" s="75"/>
      <c r="AF869" s="45"/>
    </row>
    <row r="870" spans="2:32" customFormat="1" x14ac:dyDescent="0.25">
      <c r="B870" s="127"/>
      <c r="D870" s="234"/>
      <c r="E870" s="234"/>
      <c r="V870" s="262"/>
      <c r="W870" s="254"/>
      <c r="X870" s="254"/>
      <c r="Y870" s="154"/>
      <c r="Z870" s="6"/>
      <c r="AA870" s="6"/>
      <c r="AB870" s="6"/>
      <c r="AC870" s="6"/>
      <c r="AD870" s="6"/>
      <c r="AE870" s="75"/>
      <c r="AF870" s="45"/>
    </row>
    <row r="871" spans="2:32" customFormat="1" x14ac:dyDescent="0.25">
      <c r="B871" s="127"/>
      <c r="D871" s="234"/>
      <c r="E871" s="234"/>
      <c r="V871" s="262"/>
      <c r="W871" s="254"/>
      <c r="X871" s="254"/>
      <c r="Y871" s="154"/>
      <c r="Z871" s="6"/>
      <c r="AA871" s="6"/>
      <c r="AB871" s="6"/>
      <c r="AC871" s="6"/>
      <c r="AD871" s="6"/>
      <c r="AE871" s="75"/>
      <c r="AF871" s="45"/>
    </row>
    <row r="872" spans="2:32" customFormat="1" x14ac:dyDescent="0.25">
      <c r="B872" s="127"/>
      <c r="D872" s="234"/>
      <c r="E872" s="234"/>
      <c r="V872" s="262"/>
      <c r="W872" s="254"/>
      <c r="X872" s="254"/>
      <c r="Y872" s="154"/>
      <c r="Z872" s="6"/>
      <c r="AA872" s="6"/>
      <c r="AB872" s="6"/>
      <c r="AC872" s="6"/>
      <c r="AD872" s="6"/>
      <c r="AE872" s="75"/>
      <c r="AF872" s="45"/>
    </row>
    <row r="873" spans="2:32" customFormat="1" x14ac:dyDescent="0.25">
      <c r="B873" s="127"/>
      <c r="D873" s="234"/>
      <c r="E873" s="234"/>
      <c r="V873" s="262"/>
      <c r="W873" s="254"/>
      <c r="X873" s="254"/>
      <c r="Y873" s="154"/>
      <c r="Z873" s="6"/>
      <c r="AA873" s="6"/>
      <c r="AB873" s="6"/>
      <c r="AC873" s="6"/>
      <c r="AD873" s="6"/>
      <c r="AE873" s="75"/>
      <c r="AF873" s="45"/>
    </row>
    <row r="874" spans="2:32" customFormat="1" x14ac:dyDescent="0.25">
      <c r="B874" s="127"/>
      <c r="D874" s="234"/>
      <c r="E874" s="234"/>
      <c r="V874" s="262"/>
      <c r="W874" s="254"/>
      <c r="X874" s="254"/>
      <c r="Y874" s="154"/>
      <c r="Z874" s="6"/>
      <c r="AA874" s="6"/>
      <c r="AB874" s="6"/>
      <c r="AC874" s="6"/>
      <c r="AD874" s="6"/>
      <c r="AE874" s="75"/>
      <c r="AF874" s="45"/>
    </row>
    <row r="875" spans="2:32" customFormat="1" x14ac:dyDescent="0.25">
      <c r="B875" s="127"/>
      <c r="D875" s="234"/>
      <c r="E875" s="234"/>
      <c r="V875" s="262"/>
      <c r="W875" s="254"/>
      <c r="X875" s="254"/>
      <c r="Y875" s="154"/>
      <c r="Z875" s="6"/>
      <c r="AA875" s="6"/>
      <c r="AB875" s="6"/>
      <c r="AC875" s="6"/>
      <c r="AD875" s="6"/>
      <c r="AE875" s="75"/>
      <c r="AF875" s="45"/>
    </row>
    <row r="876" spans="2:32" customFormat="1" x14ac:dyDescent="0.25">
      <c r="B876" s="127"/>
      <c r="D876" s="234"/>
      <c r="E876" s="234"/>
      <c r="V876" s="262"/>
      <c r="W876" s="254"/>
      <c r="X876" s="254"/>
      <c r="Y876" s="154"/>
      <c r="Z876" s="6"/>
      <c r="AA876" s="6"/>
      <c r="AB876" s="6"/>
      <c r="AC876" s="6"/>
      <c r="AD876" s="6"/>
      <c r="AE876" s="75"/>
      <c r="AF876" s="45"/>
    </row>
    <row r="877" spans="2:32" customFormat="1" x14ac:dyDescent="0.25">
      <c r="B877" s="127"/>
      <c r="D877" s="234"/>
      <c r="E877" s="234"/>
      <c r="V877" s="262"/>
      <c r="W877" s="254"/>
      <c r="X877" s="254"/>
      <c r="Y877" s="154"/>
      <c r="Z877" s="6"/>
      <c r="AA877" s="6"/>
      <c r="AB877" s="6"/>
      <c r="AC877" s="6"/>
      <c r="AD877" s="6"/>
      <c r="AE877" s="75"/>
      <c r="AF877" s="45"/>
    </row>
    <row r="878" spans="2:32" customFormat="1" x14ac:dyDescent="0.25">
      <c r="B878" s="127"/>
      <c r="D878" s="234"/>
      <c r="E878" s="234"/>
      <c r="V878" s="262"/>
      <c r="W878" s="254"/>
      <c r="X878" s="254"/>
      <c r="Y878" s="154"/>
      <c r="Z878" s="6"/>
      <c r="AA878" s="6"/>
      <c r="AB878" s="6"/>
      <c r="AC878" s="6"/>
      <c r="AD878" s="6"/>
      <c r="AE878" s="75"/>
      <c r="AF878" s="45"/>
    </row>
    <row r="879" spans="2:32" customFormat="1" x14ac:dyDescent="0.25">
      <c r="B879" s="127"/>
      <c r="D879" s="234"/>
      <c r="E879" s="234"/>
      <c r="V879" s="262"/>
      <c r="W879" s="254"/>
      <c r="X879" s="254"/>
      <c r="Y879" s="154"/>
      <c r="Z879" s="6"/>
      <c r="AA879" s="6"/>
      <c r="AB879" s="6"/>
      <c r="AC879" s="6"/>
      <c r="AD879" s="6"/>
      <c r="AE879" s="75"/>
      <c r="AF879" s="45"/>
    </row>
    <row r="880" spans="2:32" customFormat="1" x14ac:dyDescent="0.25">
      <c r="B880" s="127"/>
      <c r="D880" s="234"/>
      <c r="E880" s="234"/>
      <c r="V880" s="262"/>
      <c r="W880" s="254"/>
      <c r="X880" s="254"/>
      <c r="Y880" s="154"/>
      <c r="Z880" s="6"/>
      <c r="AA880" s="6"/>
      <c r="AB880" s="6"/>
      <c r="AC880" s="6"/>
      <c r="AD880" s="6"/>
      <c r="AE880" s="75"/>
      <c r="AF880" s="45"/>
    </row>
    <row r="881" spans="2:32" customFormat="1" x14ac:dyDescent="0.25">
      <c r="B881" s="127"/>
      <c r="D881" s="234"/>
      <c r="E881" s="234"/>
      <c r="V881" s="262"/>
      <c r="W881" s="254"/>
      <c r="X881" s="254"/>
      <c r="Y881" s="154"/>
      <c r="Z881" s="6"/>
      <c r="AA881" s="6"/>
      <c r="AB881" s="6"/>
      <c r="AC881" s="6"/>
      <c r="AD881" s="6"/>
      <c r="AE881" s="75"/>
      <c r="AF881" s="45"/>
    </row>
    <row r="882" spans="2:32" customFormat="1" x14ac:dyDescent="0.25">
      <c r="B882" s="127"/>
      <c r="D882" s="234"/>
      <c r="E882" s="234"/>
      <c r="V882" s="262"/>
      <c r="W882" s="254"/>
      <c r="X882" s="254"/>
      <c r="Y882" s="154"/>
      <c r="Z882" s="6"/>
      <c r="AA882" s="6"/>
      <c r="AB882" s="6"/>
      <c r="AC882" s="6"/>
      <c r="AD882" s="6"/>
      <c r="AE882" s="75"/>
      <c r="AF882" s="45"/>
    </row>
    <row r="883" spans="2:32" customFormat="1" x14ac:dyDescent="0.25">
      <c r="B883" s="127"/>
      <c r="D883" s="234"/>
      <c r="E883" s="234"/>
      <c r="V883" s="262"/>
      <c r="W883" s="254"/>
      <c r="X883" s="254"/>
      <c r="Y883" s="154"/>
      <c r="Z883" s="6"/>
      <c r="AA883" s="6"/>
      <c r="AB883" s="6"/>
      <c r="AC883" s="6"/>
      <c r="AD883" s="6"/>
      <c r="AE883" s="75"/>
      <c r="AF883" s="45"/>
    </row>
    <row r="884" spans="2:32" customFormat="1" x14ac:dyDescent="0.25">
      <c r="B884" s="127"/>
      <c r="D884" s="234"/>
      <c r="E884" s="234"/>
      <c r="V884" s="262"/>
      <c r="W884" s="254"/>
      <c r="X884" s="254"/>
      <c r="Y884" s="154"/>
      <c r="Z884" s="6"/>
      <c r="AA884" s="6"/>
      <c r="AB884" s="6"/>
      <c r="AC884" s="6"/>
      <c r="AD884" s="6"/>
      <c r="AE884" s="75"/>
      <c r="AF884" s="45"/>
    </row>
    <row r="885" spans="2:32" customFormat="1" x14ac:dyDescent="0.25">
      <c r="B885" s="127"/>
      <c r="D885" s="234"/>
      <c r="E885" s="234"/>
      <c r="V885" s="262"/>
      <c r="W885" s="254"/>
      <c r="X885" s="254"/>
      <c r="Y885" s="154"/>
      <c r="Z885" s="6"/>
      <c r="AA885" s="6"/>
      <c r="AB885" s="6"/>
      <c r="AC885" s="6"/>
      <c r="AD885" s="6"/>
      <c r="AE885" s="75"/>
      <c r="AF885" s="45"/>
    </row>
    <row r="886" spans="2:32" customFormat="1" x14ac:dyDescent="0.25">
      <c r="B886" s="127"/>
      <c r="D886" s="234"/>
      <c r="E886" s="234"/>
      <c r="V886" s="262"/>
      <c r="W886" s="254"/>
      <c r="X886" s="254"/>
      <c r="Y886" s="154"/>
      <c r="Z886" s="6"/>
      <c r="AA886" s="6"/>
      <c r="AB886" s="6"/>
      <c r="AC886" s="6"/>
      <c r="AD886" s="6"/>
      <c r="AE886" s="75"/>
      <c r="AF886" s="45"/>
    </row>
    <row r="887" spans="2:32" customFormat="1" x14ac:dyDescent="0.25">
      <c r="B887" s="127"/>
      <c r="D887" s="234"/>
      <c r="E887" s="234"/>
      <c r="V887" s="262"/>
      <c r="W887" s="254"/>
      <c r="X887" s="254"/>
      <c r="Y887" s="154"/>
      <c r="Z887" s="6"/>
      <c r="AA887" s="6"/>
      <c r="AB887" s="6"/>
      <c r="AC887" s="6"/>
      <c r="AD887" s="6"/>
      <c r="AE887" s="75"/>
      <c r="AF887" s="45"/>
    </row>
    <row r="888" spans="2:32" customFormat="1" x14ac:dyDescent="0.25">
      <c r="B888" s="127"/>
      <c r="D888" s="234"/>
      <c r="E888" s="234"/>
      <c r="V888" s="262"/>
      <c r="W888" s="254"/>
      <c r="X888" s="254"/>
      <c r="Y888" s="154"/>
      <c r="Z888" s="6"/>
      <c r="AA888" s="6"/>
      <c r="AB888" s="6"/>
      <c r="AC888" s="6"/>
      <c r="AD888" s="6"/>
      <c r="AE888" s="75"/>
      <c r="AF888" s="45"/>
    </row>
    <row r="889" spans="2:32" customFormat="1" x14ac:dyDescent="0.25">
      <c r="B889" s="127"/>
      <c r="D889" s="234"/>
      <c r="E889" s="234"/>
      <c r="V889" s="262"/>
      <c r="W889" s="254"/>
      <c r="X889" s="254"/>
      <c r="Y889" s="154"/>
      <c r="Z889" s="6"/>
      <c r="AA889" s="6"/>
      <c r="AB889" s="6"/>
      <c r="AC889" s="6"/>
      <c r="AD889" s="6"/>
      <c r="AE889" s="75"/>
      <c r="AF889" s="45"/>
    </row>
    <row r="890" spans="2:32" customFormat="1" x14ac:dyDescent="0.25">
      <c r="B890" s="127"/>
      <c r="D890" s="234"/>
      <c r="E890" s="234"/>
      <c r="V890" s="262"/>
      <c r="W890" s="254"/>
      <c r="X890" s="254"/>
      <c r="Y890" s="154"/>
      <c r="Z890" s="6"/>
      <c r="AA890" s="6"/>
      <c r="AB890" s="6"/>
      <c r="AC890" s="6"/>
      <c r="AD890" s="6"/>
      <c r="AE890" s="75"/>
      <c r="AF890" s="45"/>
    </row>
    <row r="891" spans="2:32" customFormat="1" x14ac:dyDescent="0.25">
      <c r="B891" s="127"/>
      <c r="D891" s="234"/>
      <c r="E891" s="234"/>
      <c r="V891" s="262"/>
      <c r="W891" s="254"/>
      <c r="X891" s="254"/>
      <c r="Y891" s="154"/>
      <c r="Z891" s="6"/>
      <c r="AA891" s="6"/>
      <c r="AB891" s="6"/>
      <c r="AC891" s="6"/>
      <c r="AD891" s="6"/>
      <c r="AE891" s="75"/>
      <c r="AF891" s="45"/>
    </row>
    <row r="892" spans="2:32" customFormat="1" x14ac:dyDescent="0.25">
      <c r="B892" s="127"/>
      <c r="D892" s="234"/>
      <c r="E892" s="234"/>
      <c r="V892" s="262"/>
      <c r="W892" s="254"/>
      <c r="X892" s="254"/>
      <c r="Y892" s="154"/>
      <c r="Z892" s="6"/>
      <c r="AA892" s="6"/>
      <c r="AB892" s="6"/>
      <c r="AC892" s="6"/>
      <c r="AD892" s="6"/>
      <c r="AE892" s="75"/>
      <c r="AF892" s="45"/>
    </row>
    <row r="893" spans="2:32" customFormat="1" x14ac:dyDescent="0.25">
      <c r="B893" s="127"/>
      <c r="D893" s="234"/>
      <c r="E893" s="234"/>
      <c r="V893" s="262"/>
      <c r="W893" s="254"/>
      <c r="X893" s="254"/>
      <c r="Y893" s="154"/>
      <c r="Z893" s="6"/>
      <c r="AA893" s="6"/>
      <c r="AB893" s="6"/>
      <c r="AC893" s="6"/>
      <c r="AD893" s="6"/>
      <c r="AE893" s="75"/>
      <c r="AF893" s="45"/>
    </row>
    <row r="894" spans="2:32" customFormat="1" x14ac:dyDescent="0.25">
      <c r="B894" s="127"/>
      <c r="D894" s="234"/>
      <c r="E894" s="234"/>
      <c r="V894" s="262"/>
      <c r="W894" s="254"/>
      <c r="X894" s="254"/>
      <c r="Y894" s="154"/>
      <c r="Z894" s="6"/>
      <c r="AA894" s="6"/>
      <c r="AB894" s="6"/>
      <c r="AC894" s="6"/>
      <c r="AD894" s="6"/>
      <c r="AE894" s="75"/>
      <c r="AF894" s="45"/>
    </row>
    <row r="895" spans="2:32" customFormat="1" x14ac:dyDescent="0.25">
      <c r="B895" s="127"/>
      <c r="D895" s="234"/>
      <c r="E895" s="234"/>
      <c r="V895" s="262"/>
      <c r="W895" s="254"/>
      <c r="X895" s="254"/>
      <c r="Y895" s="154"/>
      <c r="Z895" s="6"/>
      <c r="AA895" s="6"/>
      <c r="AB895" s="6"/>
      <c r="AC895" s="6"/>
      <c r="AD895" s="6"/>
      <c r="AE895" s="75"/>
      <c r="AF895" s="45"/>
    </row>
    <row r="896" spans="2:32" customFormat="1" x14ac:dyDescent="0.25">
      <c r="B896" s="127"/>
      <c r="D896" s="234"/>
      <c r="E896" s="234"/>
      <c r="V896" s="262"/>
      <c r="W896" s="254"/>
      <c r="X896" s="254"/>
      <c r="Y896" s="154"/>
      <c r="Z896" s="6"/>
      <c r="AA896" s="6"/>
      <c r="AB896" s="6"/>
      <c r="AC896" s="6"/>
      <c r="AD896" s="6"/>
      <c r="AE896" s="75"/>
      <c r="AF896" s="45"/>
    </row>
    <row r="897" spans="2:32" customFormat="1" x14ac:dyDescent="0.25">
      <c r="B897" s="127"/>
      <c r="D897" s="234"/>
      <c r="E897" s="234"/>
      <c r="V897" s="262"/>
      <c r="W897" s="254"/>
      <c r="X897" s="254"/>
      <c r="Y897" s="154"/>
      <c r="Z897" s="6"/>
      <c r="AA897" s="6"/>
      <c r="AB897" s="6"/>
      <c r="AC897" s="6"/>
      <c r="AD897" s="6"/>
      <c r="AE897" s="75"/>
      <c r="AF897" s="45"/>
    </row>
    <row r="898" spans="2:32" customFormat="1" x14ac:dyDescent="0.25">
      <c r="B898" s="127"/>
      <c r="D898" s="234"/>
      <c r="E898" s="234"/>
      <c r="V898" s="262"/>
      <c r="W898" s="254"/>
      <c r="X898" s="254"/>
      <c r="Y898" s="154"/>
      <c r="Z898" s="6"/>
      <c r="AA898" s="6"/>
      <c r="AB898" s="6"/>
      <c r="AC898" s="6"/>
      <c r="AD898" s="6"/>
      <c r="AE898" s="75"/>
      <c r="AF898" s="45"/>
    </row>
    <row r="899" spans="2:32" customFormat="1" x14ac:dyDescent="0.25">
      <c r="B899" s="127"/>
      <c r="D899" s="234"/>
      <c r="E899" s="234"/>
      <c r="V899" s="262"/>
      <c r="W899" s="254"/>
      <c r="X899" s="254"/>
      <c r="Y899" s="154"/>
      <c r="Z899" s="6"/>
      <c r="AA899" s="6"/>
      <c r="AB899" s="6"/>
      <c r="AC899" s="6"/>
      <c r="AD899" s="6"/>
      <c r="AE899" s="75"/>
      <c r="AF899" s="45"/>
    </row>
    <row r="900" spans="2:32" customFormat="1" x14ac:dyDescent="0.25">
      <c r="B900" s="127"/>
      <c r="D900" s="234"/>
      <c r="E900" s="234"/>
      <c r="V900" s="262"/>
      <c r="W900" s="254"/>
      <c r="X900" s="254"/>
      <c r="Y900" s="154"/>
      <c r="Z900" s="6"/>
      <c r="AA900" s="6"/>
      <c r="AB900" s="6"/>
      <c r="AC900" s="6"/>
      <c r="AD900" s="6"/>
      <c r="AE900" s="75"/>
      <c r="AF900" s="45"/>
    </row>
    <row r="901" spans="2:32" customFormat="1" x14ac:dyDescent="0.25">
      <c r="B901" s="127"/>
      <c r="D901" s="234"/>
      <c r="E901" s="234"/>
      <c r="V901" s="262"/>
      <c r="W901" s="254"/>
      <c r="X901" s="254"/>
      <c r="Y901" s="154"/>
      <c r="Z901" s="6"/>
      <c r="AA901" s="6"/>
      <c r="AB901" s="6"/>
      <c r="AC901" s="6"/>
      <c r="AD901" s="6"/>
      <c r="AE901" s="75"/>
      <c r="AF901" s="45"/>
    </row>
    <row r="902" spans="2:32" customFormat="1" x14ac:dyDescent="0.25">
      <c r="B902" s="127"/>
      <c r="D902" s="234"/>
      <c r="E902" s="234"/>
      <c r="V902" s="262"/>
      <c r="W902" s="254"/>
      <c r="X902" s="254"/>
      <c r="Y902" s="154"/>
      <c r="Z902" s="6"/>
      <c r="AA902" s="6"/>
      <c r="AB902" s="6"/>
      <c r="AC902" s="6"/>
      <c r="AD902" s="6"/>
      <c r="AE902" s="75"/>
      <c r="AF902" s="45"/>
    </row>
    <row r="903" spans="2:32" customFormat="1" x14ac:dyDescent="0.25">
      <c r="B903" s="127"/>
      <c r="D903" s="234"/>
      <c r="E903" s="234"/>
      <c r="V903" s="262"/>
      <c r="W903" s="254"/>
      <c r="X903" s="254"/>
      <c r="Y903" s="154"/>
      <c r="Z903" s="6"/>
      <c r="AA903" s="6"/>
      <c r="AB903" s="6"/>
      <c r="AC903" s="6"/>
      <c r="AD903" s="6"/>
      <c r="AE903" s="75"/>
      <c r="AF903" s="45"/>
    </row>
    <row r="904" spans="2:32" customFormat="1" x14ac:dyDescent="0.25">
      <c r="B904" s="127"/>
      <c r="D904" s="234"/>
      <c r="E904" s="234"/>
      <c r="V904" s="262"/>
      <c r="W904" s="254"/>
      <c r="X904" s="254"/>
      <c r="Y904" s="154"/>
      <c r="Z904" s="6"/>
      <c r="AA904" s="6"/>
      <c r="AB904" s="6"/>
      <c r="AC904" s="6"/>
      <c r="AD904" s="6"/>
      <c r="AE904" s="75"/>
      <c r="AF904" s="45"/>
    </row>
    <row r="905" spans="2:32" customFormat="1" x14ac:dyDescent="0.25">
      <c r="B905" s="127"/>
      <c r="D905" s="234"/>
      <c r="E905" s="234"/>
      <c r="V905" s="262"/>
      <c r="W905" s="254"/>
      <c r="X905" s="254"/>
      <c r="Y905" s="154"/>
      <c r="Z905" s="6"/>
      <c r="AA905" s="6"/>
      <c r="AB905" s="6"/>
      <c r="AC905" s="6"/>
      <c r="AD905" s="6"/>
      <c r="AE905" s="75"/>
      <c r="AF905" s="45"/>
    </row>
    <row r="906" spans="2:32" customFormat="1" x14ac:dyDescent="0.25">
      <c r="B906" s="127"/>
      <c r="D906" s="234"/>
      <c r="E906" s="234"/>
      <c r="V906" s="262"/>
      <c r="W906" s="254"/>
      <c r="X906" s="254"/>
      <c r="Y906" s="154"/>
      <c r="Z906" s="6"/>
      <c r="AA906" s="6"/>
      <c r="AB906" s="6"/>
      <c r="AC906" s="6"/>
      <c r="AD906" s="6"/>
      <c r="AE906" s="75"/>
      <c r="AF906" s="45"/>
    </row>
    <row r="907" spans="2:32" customFormat="1" x14ac:dyDescent="0.25">
      <c r="B907" s="127"/>
      <c r="D907" s="234"/>
      <c r="E907" s="234"/>
      <c r="V907" s="262"/>
      <c r="W907" s="254"/>
      <c r="X907" s="254"/>
      <c r="Y907" s="154"/>
      <c r="Z907" s="6"/>
      <c r="AA907" s="6"/>
      <c r="AB907" s="6"/>
      <c r="AC907" s="6"/>
      <c r="AD907" s="6"/>
      <c r="AE907" s="75"/>
      <c r="AF907" s="45"/>
    </row>
    <row r="908" spans="2:32" customFormat="1" x14ac:dyDescent="0.25">
      <c r="B908" s="127"/>
      <c r="D908" s="234"/>
      <c r="E908" s="234"/>
      <c r="V908" s="262"/>
      <c r="W908" s="254"/>
      <c r="X908" s="254"/>
      <c r="Y908" s="154"/>
      <c r="Z908" s="6"/>
      <c r="AA908" s="6"/>
      <c r="AB908" s="6"/>
      <c r="AC908" s="6"/>
      <c r="AD908" s="6"/>
      <c r="AE908" s="75"/>
      <c r="AF908" s="45"/>
    </row>
    <row r="909" spans="2:32" customFormat="1" x14ac:dyDescent="0.25">
      <c r="B909" s="127"/>
      <c r="D909" s="234"/>
      <c r="E909" s="234"/>
      <c r="V909" s="262"/>
      <c r="W909" s="254"/>
      <c r="X909" s="254"/>
      <c r="Y909" s="154"/>
      <c r="Z909" s="6"/>
      <c r="AA909" s="6"/>
      <c r="AB909" s="6"/>
      <c r="AC909" s="6"/>
      <c r="AD909" s="6"/>
      <c r="AE909" s="75"/>
      <c r="AF909" s="45"/>
    </row>
    <row r="910" spans="2:32" customFormat="1" x14ac:dyDescent="0.25">
      <c r="B910" s="127"/>
      <c r="D910" s="234"/>
      <c r="E910" s="234"/>
      <c r="V910" s="262"/>
      <c r="W910" s="254"/>
      <c r="X910" s="254"/>
      <c r="Y910" s="154"/>
      <c r="Z910" s="6"/>
      <c r="AA910" s="6"/>
      <c r="AB910" s="6"/>
      <c r="AC910" s="6"/>
      <c r="AD910" s="6"/>
      <c r="AE910" s="75"/>
      <c r="AF910" s="45"/>
    </row>
    <row r="911" spans="2:32" customFormat="1" x14ac:dyDescent="0.25">
      <c r="B911" s="127"/>
      <c r="D911" s="234"/>
      <c r="E911" s="234"/>
      <c r="V911" s="262"/>
      <c r="W911" s="254"/>
      <c r="X911" s="254"/>
      <c r="Y911" s="154"/>
      <c r="Z911" s="6"/>
      <c r="AA911" s="6"/>
      <c r="AB911" s="6"/>
      <c r="AC911" s="6"/>
      <c r="AD911" s="6"/>
      <c r="AE911" s="75"/>
      <c r="AF911" s="45"/>
    </row>
    <row r="912" spans="2:32" customFormat="1" x14ac:dyDescent="0.25">
      <c r="B912" s="127"/>
      <c r="D912" s="234"/>
      <c r="E912" s="234"/>
      <c r="V912" s="262"/>
      <c r="W912" s="254"/>
      <c r="X912" s="254"/>
      <c r="Y912" s="154"/>
      <c r="Z912" s="6"/>
      <c r="AA912" s="6"/>
      <c r="AB912" s="6"/>
      <c r="AC912" s="6"/>
      <c r="AD912" s="6"/>
      <c r="AE912" s="75"/>
      <c r="AF912" s="45"/>
    </row>
    <row r="913" spans="2:32" customFormat="1" x14ac:dyDescent="0.25">
      <c r="B913" s="127"/>
      <c r="D913" s="234"/>
      <c r="E913" s="234"/>
      <c r="V913" s="262"/>
      <c r="W913" s="254"/>
      <c r="X913" s="254"/>
      <c r="Y913" s="154"/>
      <c r="Z913" s="6"/>
      <c r="AA913" s="6"/>
      <c r="AB913" s="6"/>
      <c r="AC913" s="6"/>
      <c r="AD913" s="6"/>
      <c r="AE913" s="75"/>
      <c r="AF913" s="45"/>
    </row>
    <row r="914" spans="2:32" customFormat="1" x14ac:dyDescent="0.25">
      <c r="B914" s="127"/>
      <c r="D914" s="234"/>
      <c r="E914" s="234"/>
      <c r="V914" s="262"/>
      <c r="W914" s="254"/>
      <c r="X914" s="254"/>
      <c r="Y914" s="154"/>
      <c r="Z914" s="6"/>
      <c r="AA914" s="6"/>
      <c r="AB914" s="6"/>
      <c r="AC914" s="6"/>
      <c r="AD914" s="6"/>
      <c r="AE914" s="75"/>
      <c r="AF914" s="45"/>
    </row>
    <row r="915" spans="2:32" customFormat="1" x14ac:dyDescent="0.25">
      <c r="B915" s="127"/>
      <c r="D915" s="234"/>
      <c r="E915" s="234"/>
      <c r="V915" s="262"/>
      <c r="W915" s="254"/>
      <c r="X915" s="254"/>
      <c r="Y915" s="154"/>
      <c r="Z915" s="6"/>
      <c r="AA915" s="6"/>
      <c r="AB915" s="6"/>
      <c r="AC915" s="6"/>
      <c r="AD915" s="6"/>
      <c r="AE915" s="75"/>
      <c r="AF915" s="45"/>
    </row>
    <row r="916" spans="2:32" customFormat="1" x14ac:dyDescent="0.25">
      <c r="B916" s="127"/>
      <c r="D916" s="234"/>
      <c r="E916" s="234"/>
      <c r="V916" s="262"/>
      <c r="W916" s="254"/>
      <c r="X916" s="254"/>
      <c r="Y916" s="154"/>
      <c r="Z916" s="6"/>
      <c r="AA916" s="6"/>
      <c r="AB916" s="6"/>
      <c r="AC916" s="6"/>
      <c r="AD916" s="6"/>
      <c r="AE916" s="75"/>
      <c r="AF916" s="45"/>
    </row>
    <row r="917" spans="2:32" customFormat="1" x14ac:dyDescent="0.25">
      <c r="B917" s="127"/>
      <c r="D917" s="234"/>
      <c r="E917" s="234"/>
      <c r="V917" s="262"/>
      <c r="W917" s="254"/>
      <c r="X917" s="254"/>
      <c r="Y917" s="154"/>
      <c r="Z917" s="6"/>
      <c r="AA917" s="6"/>
      <c r="AB917" s="6"/>
      <c r="AC917" s="6"/>
      <c r="AD917" s="6"/>
      <c r="AE917" s="75"/>
      <c r="AF917" s="45"/>
    </row>
    <row r="918" spans="2:32" customFormat="1" x14ac:dyDescent="0.25">
      <c r="B918" s="127"/>
      <c r="D918" s="234"/>
      <c r="E918" s="234"/>
      <c r="V918" s="262"/>
      <c r="W918" s="254"/>
      <c r="X918" s="254"/>
      <c r="Y918" s="154"/>
      <c r="Z918" s="6"/>
      <c r="AA918" s="6"/>
      <c r="AB918" s="6"/>
      <c r="AC918" s="6"/>
      <c r="AD918" s="6"/>
      <c r="AE918" s="75"/>
      <c r="AF918" s="45"/>
    </row>
    <row r="919" spans="2:32" customFormat="1" x14ac:dyDescent="0.25">
      <c r="B919" s="127"/>
      <c r="D919" s="234"/>
      <c r="E919" s="234"/>
      <c r="V919" s="262"/>
      <c r="W919" s="254"/>
      <c r="X919" s="254"/>
      <c r="Y919" s="154"/>
      <c r="Z919" s="6"/>
      <c r="AA919" s="6"/>
      <c r="AB919" s="6"/>
      <c r="AC919" s="6"/>
      <c r="AD919" s="6"/>
      <c r="AE919" s="75"/>
      <c r="AF919" s="45"/>
    </row>
    <row r="920" spans="2:32" customFormat="1" x14ac:dyDescent="0.25">
      <c r="B920" s="127"/>
      <c r="D920" s="234"/>
      <c r="E920" s="234"/>
      <c r="V920" s="262"/>
      <c r="W920" s="254"/>
      <c r="X920" s="254"/>
      <c r="Y920" s="154"/>
      <c r="Z920" s="6"/>
      <c r="AA920" s="6"/>
      <c r="AB920" s="6"/>
      <c r="AC920" s="6"/>
      <c r="AD920" s="6"/>
      <c r="AE920" s="75"/>
      <c r="AF920" s="45"/>
    </row>
    <row r="921" spans="2:32" customFormat="1" x14ac:dyDescent="0.25">
      <c r="B921" s="127"/>
      <c r="D921" s="234"/>
      <c r="E921" s="234"/>
      <c r="V921" s="262"/>
      <c r="W921" s="254"/>
      <c r="X921" s="254"/>
      <c r="Y921" s="154"/>
      <c r="Z921" s="6"/>
      <c r="AA921" s="6"/>
      <c r="AB921" s="6"/>
      <c r="AC921" s="6"/>
      <c r="AD921" s="6"/>
      <c r="AE921" s="75"/>
      <c r="AF921" s="45"/>
    </row>
    <row r="922" spans="2:32" customFormat="1" x14ac:dyDescent="0.25">
      <c r="B922" s="127"/>
      <c r="D922" s="234"/>
      <c r="E922" s="234"/>
      <c r="V922" s="262"/>
      <c r="W922" s="254"/>
      <c r="X922" s="254"/>
      <c r="Y922" s="154"/>
      <c r="Z922" s="6"/>
      <c r="AA922" s="6"/>
      <c r="AB922" s="6"/>
      <c r="AC922" s="6"/>
      <c r="AD922" s="6"/>
      <c r="AE922" s="75"/>
      <c r="AF922" s="45"/>
    </row>
    <row r="923" spans="2:32" customFormat="1" x14ac:dyDescent="0.25">
      <c r="B923" s="127"/>
      <c r="D923" s="234"/>
      <c r="E923" s="234"/>
      <c r="V923" s="262"/>
      <c r="W923" s="254"/>
      <c r="X923" s="254"/>
      <c r="Y923" s="154"/>
      <c r="Z923" s="6"/>
      <c r="AA923" s="6"/>
      <c r="AB923" s="6"/>
      <c r="AC923" s="6"/>
      <c r="AD923" s="6"/>
      <c r="AE923" s="75"/>
      <c r="AF923" s="45"/>
    </row>
    <row r="924" spans="2:32" customFormat="1" x14ac:dyDescent="0.25">
      <c r="B924" s="127"/>
      <c r="D924" s="234"/>
      <c r="E924" s="234"/>
      <c r="V924" s="262"/>
      <c r="W924" s="254"/>
      <c r="X924" s="254"/>
      <c r="Y924" s="154"/>
      <c r="Z924" s="6"/>
      <c r="AA924" s="6"/>
      <c r="AB924" s="6"/>
      <c r="AC924" s="6"/>
      <c r="AD924" s="6"/>
      <c r="AE924" s="75"/>
      <c r="AF924" s="45"/>
    </row>
    <row r="925" spans="2:32" customFormat="1" x14ac:dyDescent="0.25">
      <c r="B925" s="127"/>
      <c r="D925" s="234"/>
      <c r="E925" s="234"/>
      <c r="V925" s="262"/>
      <c r="W925" s="254"/>
      <c r="X925" s="254"/>
      <c r="Y925" s="154"/>
      <c r="Z925" s="6"/>
      <c r="AA925" s="6"/>
      <c r="AB925" s="6"/>
      <c r="AC925" s="6"/>
      <c r="AD925" s="6"/>
      <c r="AE925" s="75"/>
      <c r="AF925" s="45"/>
    </row>
    <row r="926" spans="2:32" customFormat="1" x14ac:dyDescent="0.25">
      <c r="B926" s="127"/>
      <c r="D926" s="234"/>
      <c r="E926" s="234"/>
      <c r="V926" s="262"/>
      <c r="W926" s="254"/>
      <c r="X926" s="254"/>
      <c r="Y926" s="154"/>
      <c r="Z926" s="6"/>
      <c r="AA926" s="6"/>
      <c r="AB926" s="6"/>
      <c r="AC926" s="6"/>
      <c r="AD926" s="6"/>
      <c r="AE926" s="75"/>
      <c r="AF926" s="45"/>
    </row>
    <row r="927" spans="2:32" customFormat="1" x14ac:dyDescent="0.25">
      <c r="B927" s="127"/>
      <c r="D927" s="234"/>
      <c r="E927" s="234"/>
      <c r="V927" s="262"/>
      <c r="W927" s="254"/>
      <c r="X927" s="254"/>
      <c r="Y927" s="154"/>
      <c r="Z927" s="6"/>
      <c r="AA927" s="6"/>
      <c r="AB927" s="6"/>
      <c r="AC927" s="6"/>
      <c r="AD927" s="6"/>
      <c r="AE927" s="75"/>
      <c r="AF927" s="45"/>
    </row>
    <row r="928" spans="2:32" customFormat="1" x14ac:dyDescent="0.25">
      <c r="B928" s="127"/>
      <c r="D928" s="234"/>
      <c r="E928" s="234"/>
      <c r="V928" s="262"/>
      <c r="W928" s="254"/>
      <c r="X928" s="254"/>
      <c r="Y928" s="154"/>
      <c r="Z928" s="6"/>
      <c r="AA928" s="6"/>
      <c r="AB928" s="6"/>
      <c r="AC928" s="6"/>
      <c r="AD928" s="6"/>
      <c r="AE928" s="75"/>
      <c r="AF928" s="45"/>
    </row>
    <row r="929" spans="2:32" customFormat="1" x14ac:dyDescent="0.25">
      <c r="B929" s="127"/>
      <c r="D929" s="234"/>
      <c r="E929" s="234"/>
      <c r="V929" s="262"/>
      <c r="W929" s="254"/>
      <c r="X929" s="254"/>
      <c r="Y929" s="154"/>
      <c r="Z929" s="6"/>
      <c r="AA929" s="6"/>
      <c r="AB929" s="6"/>
      <c r="AC929" s="6"/>
      <c r="AD929" s="6"/>
      <c r="AE929" s="75"/>
      <c r="AF929" s="45"/>
    </row>
    <row r="930" spans="2:32" customFormat="1" x14ac:dyDescent="0.25">
      <c r="B930" s="127"/>
      <c r="D930" s="234"/>
      <c r="E930" s="234"/>
      <c r="V930" s="262"/>
      <c r="W930" s="254"/>
      <c r="X930" s="254"/>
      <c r="Y930" s="154"/>
      <c r="Z930" s="6"/>
      <c r="AA930" s="6"/>
      <c r="AB930" s="6"/>
      <c r="AC930" s="6"/>
      <c r="AD930" s="6"/>
      <c r="AE930" s="75"/>
      <c r="AF930" s="45"/>
    </row>
    <row r="931" spans="2:32" customFormat="1" x14ac:dyDescent="0.25">
      <c r="B931" s="127"/>
      <c r="D931" s="234"/>
      <c r="E931" s="234"/>
      <c r="V931" s="262"/>
      <c r="W931" s="254"/>
      <c r="X931" s="254"/>
      <c r="Y931" s="154"/>
      <c r="Z931" s="6"/>
      <c r="AA931" s="6"/>
      <c r="AB931" s="6"/>
      <c r="AC931" s="6"/>
      <c r="AD931" s="6"/>
      <c r="AE931" s="75"/>
      <c r="AF931" s="45"/>
    </row>
    <row r="932" spans="2:32" customFormat="1" x14ac:dyDescent="0.25">
      <c r="B932" s="127"/>
      <c r="D932" s="234"/>
      <c r="E932" s="234"/>
      <c r="V932" s="262"/>
      <c r="W932" s="254"/>
      <c r="X932" s="254"/>
      <c r="Y932" s="154"/>
      <c r="Z932" s="6"/>
      <c r="AA932" s="6"/>
      <c r="AB932" s="6"/>
      <c r="AC932" s="6"/>
      <c r="AD932" s="6"/>
      <c r="AE932" s="75"/>
      <c r="AF932" s="45"/>
    </row>
    <row r="933" spans="2:32" customFormat="1" x14ac:dyDescent="0.25">
      <c r="B933" s="127"/>
      <c r="D933" s="234"/>
      <c r="E933" s="234"/>
      <c r="V933" s="262"/>
      <c r="W933" s="254"/>
      <c r="X933" s="254"/>
      <c r="Y933" s="154"/>
      <c r="Z933" s="6"/>
      <c r="AA933" s="6"/>
      <c r="AB933" s="6"/>
      <c r="AC933" s="6"/>
      <c r="AD933" s="6"/>
      <c r="AE933" s="75"/>
      <c r="AF933" s="45"/>
    </row>
    <row r="934" spans="2:32" customFormat="1" x14ac:dyDescent="0.25">
      <c r="B934" s="127"/>
      <c r="D934" s="234"/>
      <c r="E934" s="234"/>
      <c r="V934" s="262"/>
      <c r="W934" s="254"/>
      <c r="X934" s="254"/>
      <c r="Y934" s="154"/>
      <c r="Z934" s="6"/>
      <c r="AA934" s="6"/>
      <c r="AB934" s="6"/>
      <c r="AC934" s="6"/>
      <c r="AD934" s="6"/>
      <c r="AE934" s="75"/>
      <c r="AF934" s="45"/>
    </row>
    <row r="935" spans="2:32" customFormat="1" x14ac:dyDescent="0.25">
      <c r="B935" s="127"/>
      <c r="D935" s="234"/>
      <c r="E935" s="234"/>
      <c r="V935" s="262"/>
      <c r="W935" s="254"/>
      <c r="X935" s="254"/>
      <c r="Y935" s="154"/>
      <c r="Z935" s="6"/>
      <c r="AA935" s="6"/>
      <c r="AB935" s="6"/>
      <c r="AC935" s="6"/>
      <c r="AD935" s="6"/>
      <c r="AE935" s="75"/>
      <c r="AF935" s="45"/>
    </row>
    <row r="936" spans="2:32" customFormat="1" x14ac:dyDescent="0.25">
      <c r="B936" s="127"/>
      <c r="D936" s="234"/>
      <c r="E936" s="234"/>
      <c r="V936" s="262"/>
      <c r="W936" s="254"/>
      <c r="X936" s="254"/>
      <c r="Y936" s="154"/>
      <c r="Z936" s="6"/>
      <c r="AA936" s="6"/>
      <c r="AB936" s="6"/>
      <c r="AC936" s="6"/>
      <c r="AD936" s="6"/>
      <c r="AE936" s="75"/>
      <c r="AF936" s="45"/>
    </row>
    <row r="937" spans="2:32" customFormat="1" x14ac:dyDescent="0.25">
      <c r="B937" s="127"/>
      <c r="D937" s="234"/>
      <c r="E937" s="234"/>
      <c r="V937" s="262"/>
      <c r="W937" s="254"/>
      <c r="X937" s="254"/>
      <c r="Y937" s="154"/>
      <c r="Z937" s="6"/>
      <c r="AA937" s="6"/>
      <c r="AB937" s="6"/>
      <c r="AC937" s="6"/>
      <c r="AD937" s="6"/>
      <c r="AE937" s="75"/>
      <c r="AF937" s="45"/>
    </row>
    <row r="938" spans="2:32" customFormat="1" x14ac:dyDescent="0.25">
      <c r="B938" s="127"/>
      <c r="D938" s="234"/>
      <c r="E938" s="234"/>
      <c r="V938" s="262"/>
      <c r="W938" s="254"/>
      <c r="X938" s="254"/>
      <c r="Y938" s="154"/>
      <c r="Z938" s="6"/>
      <c r="AA938" s="6"/>
      <c r="AB938" s="6"/>
      <c r="AC938" s="6"/>
      <c r="AD938" s="6"/>
      <c r="AE938" s="75"/>
      <c r="AF938" s="45"/>
    </row>
    <row r="939" spans="2:32" customFormat="1" x14ac:dyDescent="0.25">
      <c r="B939" s="127"/>
      <c r="D939" s="234"/>
      <c r="E939" s="234"/>
      <c r="V939" s="262"/>
      <c r="W939" s="254"/>
      <c r="X939" s="254"/>
      <c r="Y939" s="154"/>
      <c r="Z939" s="6"/>
      <c r="AA939" s="6"/>
      <c r="AB939" s="6"/>
      <c r="AC939" s="6"/>
      <c r="AD939" s="6"/>
      <c r="AE939" s="75"/>
      <c r="AF939" s="45"/>
    </row>
    <row r="940" spans="2:32" customFormat="1" x14ac:dyDescent="0.25">
      <c r="B940" s="127"/>
      <c r="D940" s="234"/>
      <c r="E940" s="234"/>
      <c r="V940" s="262"/>
      <c r="W940" s="254"/>
      <c r="X940" s="254"/>
      <c r="Y940" s="154"/>
      <c r="Z940" s="6"/>
      <c r="AA940" s="6"/>
      <c r="AB940" s="6"/>
      <c r="AC940" s="6"/>
      <c r="AD940" s="6"/>
      <c r="AE940" s="75"/>
      <c r="AF940" s="45"/>
    </row>
    <row r="941" spans="2:32" customFormat="1" x14ac:dyDescent="0.25">
      <c r="B941" s="127"/>
      <c r="D941" s="234"/>
      <c r="E941" s="234"/>
      <c r="V941" s="262"/>
      <c r="W941" s="254"/>
      <c r="X941" s="254"/>
      <c r="Y941" s="154"/>
      <c r="Z941" s="6"/>
      <c r="AA941" s="6"/>
      <c r="AB941" s="6"/>
      <c r="AC941" s="6"/>
      <c r="AD941" s="6"/>
      <c r="AE941" s="75"/>
      <c r="AF941" s="45"/>
    </row>
    <row r="942" spans="2:32" customFormat="1" x14ac:dyDescent="0.25">
      <c r="B942" s="127"/>
      <c r="D942" s="234"/>
      <c r="E942" s="234"/>
      <c r="V942" s="262"/>
      <c r="W942" s="254"/>
      <c r="X942" s="254"/>
      <c r="Y942" s="154"/>
      <c r="Z942" s="6"/>
      <c r="AA942" s="6"/>
      <c r="AB942" s="6"/>
      <c r="AC942" s="6"/>
      <c r="AD942" s="6"/>
      <c r="AE942" s="75"/>
      <c r="AF942" s="45"/>
    </row>
    <row r="943" spans="2:32" customFormat="1" x14ac:dyDescent="0.25">
      <c r="B943" s="127"/>
      <c r="D943" s="234"/>
      <c r="E943" s="234"/>
      <c r="V943" s="262"/>
      <c r="W943" s="254"/>
      <c r="X943" s="254"/>
      <c r="Y943" s="154"/>
      <c r="Z943" s="6"/>
      <c r="AA943" s="6"/>
      <c r="AB943" s="6"/>
      <c r="AC943" s="6"/>
      <c r="AD943" s="6"/>
      <c r="AE943" s="75"/>
      <c r="AF943" s="45"/>
    </row>
    <row r="944" spans="2:32" customFormat="1" x14ac:dyDescent="0.25">
      <c r="B944" s="127"/>
      <c r="D944" s="234"/>
      <c r="E944" s="234"/>
      <c r="V944" s="262"/>
      <c r="W944" s="254"/>
      <c r="X944" s="254"/>
      <c r="Y944" s="154"/>
      <c r="Z944" s="6"/>
      <c r="AA944" s="6"/>
      <c r="AB944" s="6"/>
      <c r="AC944" s="6"/>
      <c r="AD944" s="6"/>
      <c r="AE944" s="75"/>
      <c r="AF944" s="45"/>
    </row>
    <row r="945" spans="2:32" customFormat="1" x14ac:dyDescent="0.25">
      <c r="B945" s="127"/>
      <c r="D945" s="234"/>
      <c r="E945" s="234"/>
      <c r="V945" s="262"/>
      <c r="W945" s="254"/>
      <c r="X945" s="254"/>
      <c r="Y945" s="154"/>
      <c r="Z945" s="6"/>
      <c r="AA945" s="6"/>
      <c r="AB945" s="6"/>
      <c r="AC945" s="6"/>
      <c r="AD945" s="6"/>
      <c r="AE945" s="75"/>
      <c r="AF945" s="45"/>
    </row>
    <row r="946" spans="2:32" customFormat="1" x14ac:dyDescent="0.25">
      <c r="B946" s="127"/>
      <c r="D946" s="234"/>
      <c r="E946" s="234"/>
      <c r="V946" s="262"/>
      <c r="W946" s="254"/>
      <c r="X946" s="254"/>
      <c r="Y946" s="154"/>
      <c r="Z946" s="6"/>
      <c r="AA946" s="6"/>
      <c r="AB946" s="6"/>
      <c r="AC946" s="6"/>
      <c r="AD946" s="6"/>
      <c r="AE946" s="75"/>
      <c r="AF946" s="45"/>
    </row>
    <row r="947" spans="2:32" customFormat="1" x14ac:dyDescent="0.25">
      <c r="B947" s="127"/>
      <c r="D947" s="234"/>
      <c r="E947" s="234"/>
      <c r="V947" s="262"/>
      <c r="W947" s="254"/>
      <c r="X947" s="254"/>
      <c r="Y947" s="154"/>
      <c r="Z947" s="6"/>
      <c r="AA947" s="6"/>
      <c r="AB947" s="6"/>
      <c r="AC947" s="6"/>
      <c r="AD947" s="6"/>
      <c r="AE947" s="75"/>
      <c r="AF947" s="45"/>
    </row>
    <row r="948" spans="2:32" customFormat="1" x14ac:dyDescent="0.25">
      <c r="B948" s="127"/>
      <c r="D948" s="234"/>
      <c r="E948" s="234"/>
      <c r="V948" s="262"/>
      <c r="W948" s="254"/>
      <c r="X948" s="254"/>
      <c r="Y948" s="154"/>
      <c r="Z948" s="6"/>
      <c r="AA948" s="6"/>
      <c r="AB948" s="6"/>
      <c r="AC948" s="6"/>
      <c r="AD948" s="6"/>
      <c r="AE948" s="75"/>
      <c r="AF948" s="45"/>
    </row>
    <row r="949" spans="2:32" customFormat="1" x14ac:dyDescent="0.25">
      <c r="B949" s="127"/>
      <c r="D949" s="234"/>
      <c r="E949" s="234"/>
      <c r="V949" s="262"/>
      <c r="W949" s="254"/>
      <c r="X949" s="254"/>
      <c r="Y949" s="154"/>
      <c r="Z949" s="6"/>
      <c r="AA949" s="6"/>
      <c r="AB949" s="6"/>
      <c r="AC949" s="6"/>
      <c r="AD949" s="6"/>
      <c r="AE949" s="75"/>
      <c r="AF949" s="45"/>
    </row>
    <row r="950" spans="2:32" customFormat="1" x14ac:dyDescent="0.25">
      <c r="B950" s="127"/>
      <c r="D950" s="234"/>
      <c r="E950" s="234"/>
      <c r="V950" s="262"/>
      <c r="W950" s="254"/>
      <c r="X950" s="254"/>
      <c r="Y950" s="154"/>
      <c r="Z950" s="6"/>
      <c r="AA950" s="6"/>
      <c r="AB950" s="6"/>
      <c r="AC950" s="6"/>
      <c r="AD950" s="6"/>
      <c r="AE950" s="75"/>
      <c r="AF950" s="45"/>
    </row>
    <row r="951" spans="2:32" customFormat="1" x14ac:dyDescent="0.25">
      <c r="B951" s="127"/>
      <c r="D951" s="234"/>
      <c r="E951" s="234"/>
      <c r="V951" s="262"/>
      <c r="W951" s="254"/>
      <c r="X951" s="254"/>
      <c r="Y951" s="154"/>
      <c r="Z951" s="6"/>
      <c r="AA951" s="6"/>
      <c r="AB951" s="6"/>
      <c r="AC951" s="6"/>
      <c r="AD951" s="6"/>
      <c r="AE951" s="75"/>
      <c r="AF951" s="45"/>
    </row>
    <row r="952" spans="2:32" customFormat="1" x14ac:dyDescent="0.25">
      <c r="B952" s="127"/>
      <c r="D952" s="234"/>
      <c r="E952" s="234"/>
      <c r="V952" s="262"/>
      <c r="W952" s="254"/>
      <c r="X952" s="254"/>
      <c r="Y952" s="154"/>
      <c r="Z952" s="6"/>
      <c r="AA952" s="6"/>
      <c r="AB952" s="6"/>
      <c r="AC952" s="6"/>
      <c r="AD952" s="6"/>
      <c r="AE952" s="75"/>
      <c r="AF952" s="45"/>
    </row>
    <row r="953" spans="2:32" customFormat="1" x14ac:dyDescent="0.25">
      <c r="B953" s="127"/>
      <c r="D953" s="234"/>
      <c r="E953" s="234"/>
      <c r="V953" s="262"/>
      <c r="W953" s="254"/>
      <c r="X953" s="254"/>
      <c r="Y953" s="154"/>
      <c r="Z953" s="6"/>
      <c r="AA953" s="6"/>
      <c r="AB953" s="6"/>
      <c r="AC953" s="6"/>
      <c r="AD953" s="6"/>
      <c r="AE953" s="75"/>
      <c r="AF953" s="45"/>
    </row>
    <row r="954" spans="2:32" customFormat="1" x14ac:dyDescent="0.25">
      <c r="B954" s="127"/>
      <c r="D954" s="234"/>
      <c r="E954" s="234"/>
      <c r="V954" s="262"/>
      <c r="W954" s="254"/>
      <c r="X954" s="254"/>
      <c r="Y954" s="154"/>
      <c r="Z954" s="6"/>
      <c r="AA954" s="6"/>
      <c r="AB954" s="6"/>
      <c r="AC954" s="6"/>
      <c r="AD954" s="6"/>
      <c r="AE954" s="75"/>
      <c r="AF954" s="45"/>
    </row>
    <row r="955" spans="2:32" customFormat="1" x14ac:dyDescent="0.25">
      <c r="B955" s="127"/>
      <c r="D955" s="234"/>
      <c r="E955" s="234"/>
      <c r="V955" s="262"/>
      <c r="W955" s="254"/>
      <c r="X955" s="254"/>
      <c r="Y955" s="154"/>
      <c r="Z955" s="6"/>
      <c r="AA955" s="6"/>
      <c r="AB955" s="6"/>
      <c r="AC955" s="6"/>
      <c r="AD955" s="6"/>
      <c r="AE955" s="75"/>
      <c r="AF955" s="45"/>
    </row>
    <row r="956" spans="2:32" customFormat="1" x14ac:dyDescent="0.25">
      <c r="B956" s="127"/>
      <c r="D956" s="234"/>
      <c r="E956" s="234"/>
      <c r="V956" s="262"/>
      <c r="W956" s="254"/>
      <c r="X956" s="254"/>
      <c r="Y956" s="154"/>
      <c r="Z956" s="6"/>
      <c r="AA956" s="6"/>
      <c r="AB956" s="6"/>
      <c r="AC956" s="6"/>
      <c r="AD956" s="6"/>
      <c r="AE956" s="75"/>
      <c r="AF956" s="45"/>
    </row>
    <row r="957" spans="2:32" customFormat="1" x14ac:dyDescent="0.25">
      <c r="B957" s="127"/>
      <c r="D957" s="234"/>
      <c r="E957" s="234"/>
      <c r="V957" s="262"/>
      <c r="W957" s="254"/>
      <c r="X957" s="254"/>
      <c r="Y957" s="154"/>
      <c r="Z957" s="6"/>
      <c r="AA957" s="6"/>
      <c r="AB957" s="6"/>
      <c r="AC957" s="6"/>
      <c r="AD957" s="6"/>
      <c r="AE957" s="75"/>
      <c r="AF957" s="45"/>
    </row>
    <row r="958" spans="2:32" customFormat="1" x14ac:dyDescent="0.25">
      <c r="B958" s="127"/>
      <c r="D958" s="234"/>
      <c r="E958" s="234"/>
      <c r="V958" s="262"/>
      <c r="W958" s="254"/>
      <c r="X958" s="254"/>
      <c r="Y958" s="154"/>
      <c r="Z958" s="6"/>
      <c r="AA958" s="6"/>
      <c r="AB958" s="6"/>
      <c r="AC958" s="6"/>
      <c r="AD958" s="6"/>
      <c r="AE958" s="75"/>
      <c r="AF958" s="45"/>
    </row>
    <row r="959" spans="2:32" customFormat="1" x14ac:dyDescent="0.25">
      <c r="B959" s="127"/>
      <c r="D959" s="234"/>
      <c r="E959" s="234"/>
      <c r="V959" s="262"/>
      <c r="W959" s="254"/>
      <c r="X959" s="254"/>
      <c r="Y959" s="154"/>
      <c r="Z959" s="6"/>
      <c r="AA959" s="6"/>
      <c r="AB959" s="6"/>
      <c r="AC959" s="6"/>
      <c r="AD959" s="6"/>
      <c r="AE959" s="75"/>
      <c r="AF959" s="45"/>
    </row>
    <row r="960" spans="2:32" customFormat="1" x14ac:dyDescent="0.25">
      <c r="B960" s="127"/>
      <c r="D960" s="234"/>
      <c r="E960" s="234"/>
      <c r="V960" s="262"/>
      <c r="W960" s="254"/>
      <c r="X960" s="254"/>
      <c r="Y960" s="154"/>
      <c r="Z960" s="6"/>
      <c r="AA960" s="6"/>
      <c r="AB960" s="6"/>
      <c r="AC960" s="6"/>
      <c r="AD960" s="6"/>
      <c r="AE960" s="75"/>
      <c r="AF960" s="45"/>
    </row>
    <row r="961" spans="2:32" customFormat="1" x14ac:dyDescent="0.25">
      <c r="B961" s="127"/>
      <c r="D961" s="234"/>
      <c r="E961" s="234"/>
      <c r="V961" s="262"/>
      <c r="W961" s="254"/>
      <c r="X961" s="254"/>
      <c r="Y961" s="154"/>
      <c r="Z961" s="6"/>
      <c r="AA961" s="6"/>
      <c r="AB961" s="6"/>
      <c r="AC961" s="6"/>
      <c r="AD961" s="6"/>
      <c r="AE961" s="75"/>
      <c r="AF961" s="45"/>
    </row>
    <row r="962" spans="2:32" customFormat="1" x14ac:dyDescent="0.25">
      <c r="B962" s="127"/>
      <c r="D962" s="234"/>
      <c r="E962" s="234"/>
      <c r="V962" s="262"/>
      <c r="W962" s="254"/>
      <c r="X962" s="254"/>
      <c r="Y962" s="154"/>
      <c r="Z962" s="6"/>
      <c r="AA962" s="6"/>
      <c r="AB962" s="6"/>
      <c r="AC962" s="6"/>
      <c r="AD962" s="6"/>
      <c r="AE962" s="75"/>
      <c r="AF962" s="45"/>
    </row>
    <row r="963" spans="2:32" customFormat="1" x14ac:dyDescent="0.25">
      <c r="B963" s="127"/>
      <c r="D963" s="234"/>
      <c r="E963" s="234"/>
      <c r="V963" s="262"/>
      <c r="W963" s="254"/>
      <c r="X963" s="254"/>
      <c r="Y963" s="154"/>
      <c r="Z963" s="6"/>
      <c r="AA963" s="6"/>
      <c r="AB963" s="6"/>
      <c r="AC963" s="6"/>
      <c r="AD963" s="6"/>
      <c r="AE963" s="75"/>
      <c r="AF963" s="45"/>
    </row>
    <row r="964" spans="2:32" customFormat="1" x14ac:dyDescent="0.25">
      <c r="B964" s="127"/>
      <c r="D964" s="234"/>
      <c r="E964" s="234"/>
      <c r="V964" s="262"/>
      <c r="W964" s="254"/>
      <c r="X964" s="254"/>
      <c r="Y964" s="154"/>
      <c r="Z964" s="6"/>
      <c r="AA964" s="6"/>
      <c r="AB964" s="6"/>
      <c r="AC964" s="6"/>
      <c r="AD964" s="6"/>
      <c r="AE964" s="75"/>
      <c r="AF964" s="45"/>
    </row>
    <row r="965" spans="2:32" customFormat="1" x14ac:dyDescent="0.25">
      <c r="B965" s="127"/>
      <c r="D965" s="234"/>
      <c r="E965" s="234"/>
      <c r="V965" s="262"/>
      <c r="W965" s="254"/>
      <c r="X965" s="254"/>
      <c r="Y965" s="154"/>
      <c r="Z965" s="6"/>
      <c r="AA965" s="6"/>
      <c r="AB965" s="6"/>
      <c r="AC965" s="6"/>
      <c r="AD965" s="6"/>
      <c r="AE965" s="75"/>
      <c r="AF965" s="45"/>
    </row>
    <row r="966" spans="2:32" customFormat="1" x14ac:dyDescent="0.25">
      <c r="B966" s="127"/>
      <c r="D966" s="234"/>
      <c r="E966" s="234"/>
      <c r="V966" s="262"/>
      <c r="W966" s="254"/>
      <c r="X966" s="254"/>
      <c r="Y966" s="154"/>
      <c r="Z966" s="6"/>
      <c r="AA966" s="6"/>
      <c r="AB966" s="6"/>
      <c r="AC966" s="6"/>
      <c r="AD966" s="6"/>
      <c r="AE966" s="75"/>
      <c r="AF966" s="45"/>
    </row>
    <row r="967" spans="2:32" customFormat="1" x14ac:dyDescent="0.25">
      <c r="B967" s="127"/>
      <c r="D967" s="234"/>
      <c r="E967" s="234"/>
      <c r="V967" s="262"/>
      <c r="W967" s="254"/>
      <c r="X967" s="254"/>
      <c r="Y967" s="154"/>
      <c r="Z967" s="6"/>
      <c r="AA967" s="6"/>
      <c r="AB967" s="6"/>
      <c r="AC967" s="6"/>
      <c r="AD967" s="6"/>
      <c r="AE967" s="75"/>
      <c r="AF967" s="45"/>
    </row>
    <row r="968" spans="2:32" customFormat="1" x14ac:dyDescent="0.25">
      <c r="B968" s="127"/>
      <c r="D968" s="234"/>
      <c r="E968" s="234"/>
      <c r="V968" s="262"/>
      <c r="W968" s="254"/>
      <c r="X968" s="254"/>
      <c r="Y968" s="154"/>
      <c r="Z968" s="6"/>
      <c r="AA968" s="6"/>
      <c r="AB968" s="6"/>
      <c r="AC968" s="6"/>
      <c r="AD968" s="6"/>
      <c r="AE968" s="75"/>
      <c r="AF968" s="45"/>
    </row>
    <row r="969" spans="2:32" customFormat="1" x14ac:dyDescent="0.25">
      <c r="B969" s="127"/>
      <c r="D969" s="234"/>
      <c r="E969" s="234"/>
      <c r="V969" s="262"/>
      <c r="W969" s="254"/>
      <c r="X969" s="254"/>
      <c r="Y969" s="154"/>
      <c r="Z969" s="6"/>
      <c r="AA969" s="6"/>
      <c r="AB969" s="6"/>
      <c r="AC969" s="6"/>
      <c r="AD969" s="6"/>
      <c r="AE969" s="75"/>
      <c r="AF969" s="45"/>
    </row>
    <row r="970" spans="2:32" customFormat="1" x14ac:dyDescent="0.25">
      <c r="B970" s="127"/>
      <c r="D970" s="234"/>
      <c r="E970" s="234"/>
      <c r="V970" s="262"/>
      <c r="W970" s="254"/>
      <c r="X970" s="254"/>
      <c r="Y970" s="154"/>
      <c r="Z970" s="6"/>
      <c r="AA970" s="6"/>
      <c r="AB970" s="6"/>
      <c r="AC970" s="6"/>
      <c r="AD970" s="6"/>
      <c r="AE970" s="75"/>
      <c r="AF970" s="45"/>
    </row>
    <row r="971" spans="2:32" customFormat="1" x14ac:dyDescent="0.25">
      <c r="B971" s="127"/>
      <c r="D971" s="234"/>
      <c r="E971" s="234"/>
      <c r="V971" s="262"/>
      <c r="W971" s="254"/>
      <c r="X971" s="254"/>
      <c r="Y971" s="154"/>
      <c r="Z971" s="6"/>
      <c r="AA971" s="6"/>
      <c r="AB971" s="6"/>
      <c r="AC971" s="6"/>
      <c r="AD971" s="6"/>
      <c r="AE971" s="75"/>
      <c r="AF971" s="45"/>
    </row>
    <row r="972" spans="2:32" customFormat="1" x14ac:dyDescent="0.25">
      <c r="B972" s="127"/>
      <c r="D972" s="234"/>
      <c r="E972" s="234"/>
      <c r="V972" s="262"/>
      <c r="W972" s="254"/>
      <c r="X972" s="254"/>
      <c r="Y972" s="154"/>
      <c r="Z972" s="6"/>
      <c r="AA972" s="6"/>
      <c r="AB972" s="6"/>
      <c r="AC972" s="6"/>
      <c r="AD972" s="6"/>
      <c r="AE972" s="75"/>
      <c r="AF972" s="45"/>
    </row>
    <row r="973" spans="2:32" customFormat="1" x14ac:dyDescent="0.25">
      <c r="B973" s="127"/>
      <c r="D973" s="234"/>
      <c r="E973" s="234"/>
      <c r="V973" s="262"/>
      <c r="W973" s="254"/>
      <c r="X973" s="254"/>
      <c r="Y973" s="154"/>
      <c r="Z973" s="6"/>
      <c r="AA973" s="6"/>
      <c r="AB973" s="6"/>
      <c r="AC973" s="6"/>
      <c r="AD973" s="6"/>
      <c r="AE973" s="75"/>
      <c r="AF973" s="45"/>
    </row>
    <row r="974" spans="2:32" customFormat="1" x14ac:dyDescent="0.25">
      <c r="B974" s="127"/>
      <c r="D974" s="234"/>
      <c r="E974" s="234"/>
      <c r="V974" s="262"/>
      <c r="W974" s="254"/>
      <c r="X974" s="254"/>
      <c r="Y974" s="154"/>
      <c r="Z974" s="6"/>
      <c r="AA974" s="6"/>
      <c r="AB974" s="6"/>
      <c r="AC974" s="6"/>
      <c r="AD974" s="6"/>
      <c r="AE974" s="75"/>
      <c r="AF974" s="45"/>
    </row>
    <row r="975" spans="2:32" customFormat="1" x14ac:dyDescent="0.25">
      <c r="B975" s="127"/>
      <c r="D975" s="234"/>
      <c r="E975" s="234"/>
      <c r="V975" s="262"/>
      <c r="W975" s="254"/>
      <c r="X975" s="254"/>
      <c r="Y975" s="154"/>
      <c r="Z975" s="6"/>
      <c r="AA975" s="6"/>
      <c r="AB975" s="6"/>
      <c r="AC975" s="6"/>
      <c r="AD975" s="6"/>
      <c r="AE975" s="75"/>
      <c r="AF975" s="45"/>
    </row>
    <row r="976" spans="2:32" customFormat="1" x14ac:dyDescent="0.25">
      <c r="B976" s="127"/>
      <c r="D976" s="234"/>
      <c r="E976" s="234"/>
      <c r="V976" s="262"/>
      <c r="W976" s="254"/>
      <c r="X976" s="254"/>
      <c r="Y976" s="154"/>
      <c r="Z976" s="6"/>
      <c r="AA976" s="6"/>
      <c r="AB976" s="6"/>
      <c r="AC976" s="6"/>
      <c r="AD976" s="6"/>
      <c r="AE976" s="75"/>
      <c r="AF976" s="45"/>
    </row>
    <row r="977" spans="2:32" customFormat="1" x14ac:dyDescent="0.25">
      <c r="B977" s="127"/>
      <c r="D977" s="234"/>
      <c r="E977" s="234"/>
      <c r="V977" s="262"/>
      <c r="W977" s="254"/>
      <c r="X977" s="254"/>
      <c r="Y977" s="154"/>
      <c r="Z977" s="6"/>
      <c r="AA977" s="6"/>
      <c r="AB977" s="6"/>
      <c r="AC977" s="6"/>
      <c r="AD977" s="6"/>
      <c r="AE977" s="75"/>
      <c r="AF977" s="45"/>
    </row>
    <row r="978" spans="2:32" customFormat="1" x14ac:dyDescent="0.25">
      <c r="B978" s="127"/>
      <c r="D978" s="234"/>
      <c r="E978" s="234"/>
      <c r="V978" s="262"/>
      <c r="W978" s="254"/>
      <c r="X978" s="254"/>
      <c r="Y978" s="154"/>
      <c r="Z978" s="6"/>
      <c r="AA978" s="6"/>
      <c r="AB978" s="6"/>
      <c r="AC978" s="6"/>
      <c r="AD978" s="6"/>
      <c r="AE978" s="75"/>
      <c r="AF978" s="45"/>
    </row>
    <row r="979" spans="2:32" customFormat="1" x14ac:dyDescent="0.25">
      <c r="B979" s="127"/>
      <c r="D979" s="234"/>
      <c r="E979" s="234"/>
      <c r="V979" s="262"/>
      <c r="W979" s="254"/>
      <c r="X979" s="254"/>
      <c r="Y979" s="154"/>
      <c r="Z979" s="6"/>
      <c r="AA979" s="6"/>
      <c r="AB979" s="6"/>
      <c r="AC979" s="6"/>
      <c r="AD979" s="6"/>
      <c r="AE979" s="75"/>
      <c r="AF979" s="45"/>
    </row>
    <row r="980" spans="2:32" customFormat="1" x14ac:dyDescent="0.25">
      <c r="B980" s="127"/>
      <c r="D980" s="234"/>
      <c r="E980" s="234"/>
      <c r="V980" s="262"/>
      <c r="W980" s="254"/>
      <c r="X980" s="254"/>
      <c r="Y980" s="154"/>
      <c r="Z980" s="6"/>
      <c r="AA980" s="6"/>
      <c r="AB980" s="6"/>
      <c r="AC980" s="6"/>
      <c r="AD980" s="6"/>
      <c r="AE980" s="75"/>
      <c r="AF980" s="45"/>
    </row>
    <row r="981" spans="2:32" customFormat="1" x14ac:dyDescent="0.25">
      <c r="B981" s="127"/>
      <c r="D981" s="234"/>
      <c r="E981" s="234"/>
      <c r="V981" s="262"/>
      <c r="W981" s="254"/>
      <c r="X981" s="254"/>
      <c r="Y981" s="154"/>
      <c r="Z981" s="6"/>
      <c r="AA981" s="6"/>
      <c r="AB981" s="6"/>
      <c r="AC981" s="6"/>
      <c r="AD981" s="6"/>
      <c r="AE981" s="75"/>
      <c r="AF981" s="45"/>
    </row>
    <row r="982" spans="2:32" customFormat="1" x14ac:dyDescent="0.25">
      <c r="B982" s="127"/>
      <c r="D982" s="234"/>
      <c r="E982" s="234"/>
      <c r="V982" s="262"/>
      <c r="W982" s="254"/>
      <c r="X982" s="254"/>
      <c r="Y982" s="154"/>
      <c r="Z982" s="6"/>
      <c r="AA982" s="6"/>
      <c r="AB982" s="6"/>
      <c r="AC982" s="6"/>
      <c r="AD982" s="6"/>
      <c r="AE982" s="75"/>
      <c r="AF982" s="45"/>
    </row>
    <row r="983" spans="2:32" customFormat="1" x14ac:dyDescent="0.25">
      <c r="B983" s="127"/>
      <c r="D983" s="234"/>
      <c r="E983" s="234"/>
      <c r="V983" s="262"/>
      <c r="W983" s="254"/>
      <c r="X983" s="254"/>
      <c r="Y983" s="154"/>
      <c r="Z983" s="6"/>
      <c r="AA983" s="6"/>
      <c r="AB983" s="6"/>
      <c r="AC983" s="6"/>
      <c r="AD983" s="6"/>
      <c r="AE983" s="75"/>
      <c r="AF983" s="45"/>
    </row>
    <row r="984" spans="2:32" customFormat="1" x14ac:dyDescent="0.25">
      <c r="B984" s="127"/>
      <c r="D984" s="234"/>
      <c r="E984" s="234"/>
      <c r="V984" s="262"/>
      <c r="W984" s="254"/>
      <c r="X984" s="254"/>
      <c r="Y984" s="154"/>
      <c r="Z984" s="6"/>
      <c r="AA984" s="6"/>
      <c r="AB984" s="6"/>
      <c r="AC984" s="6"/>
      <c r="AD984" s="6"/>
      <c r="AE984" s="75"/>
      <c r="AF984" s="45"/>
    </row>
    <row r="985" spans="2:32" customFormat="1" x14ac:dyDescent="0.25">
      <c r="B985" s="127"/>
      <c r="D985" s="234"/>
      <c r="E985" s="234"/>
      <c r="V985" s="262"/>
      <c r="W985" s="254"/>
      <c r="X985" s="254"/>
      <c r="Y985" s="154"/>
      <c r="Z985" s="6"/>
      <c r="AA985" s="6"/>
      <c r="AB985" s="6"/>
      <c r="AC985" s="6"/>
      <c r="AD985" s="6"/>
      <c r="AE985" s="75"/>
      <c r="AF985" s="45"/>
    </row>
    <row r="986" spans="2:32" customFormat="1" x14ac:dyDescent="0.25">
      <c r="B986" s="127"/>
      <c r="D986" s="234"/>
      <c r="E986" s="234"/>
      <c r="V986" s="262"/>
      <c r="W986" s="254"/>
      <c r="X986" s="254"/>
      <c r="Y986" s="154"/>
      <c r="Z986" s="6"/>
      <c r="AA986" s="6"/>
      <c r="AB986" s="6"/>
      <c r="AC986" s="6"/>
      <c r="AD986" s="6"/>
      <c r="AE986" s="75"/>
      <c r="AF986" s="45"/>
    </row>
    <row r="987" spans="2:32" customFormat="1" x14ac:dyDescent="0.25">
      <c r="B987" s="127"/>
      <c r="D987" s="234"/>
      <c r="E987" s="234"/>
      <c r="V987" s="262"/>
      <c r="W987" s="254"/>
      <c r="X987" s="254"/>
      <c r="Y987" s="154"/>
      <c r="Z987" s="6"/>
      <c r="AA987" s="6"/>
      <c r="AB987" s="6"/>
      <c r="AC987" s="6"/>
      <c r="AD987" s="6"/>
      <c r="AE987" s="75"/>
      <c r="AF987" s="45"/>
    </row>
    <row r="988" spans="2:32" customFormat="1" x14ac:dyDescent="0.25">
      <c r="B988" s="127"/>
      <c r="D988" s="234"/>
      <c r="E988" s="234"/>
      <c r="V988" s="262"/>
      <c r="W988" s="254"/>
      <c r="X988" s="254"/>
      <c r="Y988" s="154"/>
      <c r="Z988" s="6"/>
      <c r="AA988" s="6"/>
      <c r="AB988" s="6"/>
      <c r="AC988" s="6"/>
      <c r="AD988" s="6"/>
      <c r="AE988" s="75"/>
      <c r="AF988" s="45"/>
    </row>
    <row r="989" spans="2:32" customFormat="1" x14ac:dyDescent="0.25">
      <c r="B989" s="127"/>
      <c r="D989" s="234"/>
      <c r="E989" s="234"/>
      <c r="V989" s="262"/>
      <c r="W989" s="254"/>
      <c r="X989" s="254"/>
      <c r="Y989" s="154"/>
      <c r="Z989" s="6"/>
      <c r="AA989" s="6"/>
      <c r="AB989" s="6"/>
      <c r="AC989" s="6"/>
      <c r="AD989" s="6"/>
      <c r="AE989" s="75"/>
      <c r="AF989" s="45"/>
    </row>
    <row r="990" spans="2:32" customFormat="1" x14ac:dyDescent="0.25">
      <c r="B990" s="127"/>
      <c r="D990" s="234"/>
      <c r="E990" s="234"/>
      <c r="V990" s="262"/>
      <c r="W990" s="254"/>
      <c r="X990" s="254"/>
      <c r="Y990" s="154"/>
      <c r="Z990" s="6"/>
      <c r="AA990" s="6"/>
      <c r="AB990" s="6"/>
      <c r="AC990" s="6"/>
      <c r="AD990" s="6"/>
      <c r="AE990" s="75"/>
      <c r="AF990" s="45"/>
    </row>
    <row r="991" spans="2:32" customFormat="1" x14ac:dyDescent="0.25">
      <c r="B991" s="127"/>
      <c r="D991" s="234"/>
      <c r="E991" s="234"/>
      <c r="V991" s="262"/>
      <c r="W991" s="254"/>
      <c r="X991" s="254"/>
      <c r="Y991" s="154"/>
      <c r="Z991" s="6"/>
      <c r="AA991" s="6"/>
      <c r="AB991" s="6"/>
      <c r="AC991" s="6"/>
      <c r="AD991" s="6"/>
      <c r="AE991" s="75"/>
      <c r="AF991" s="45"/>
    </row>
    <row r="992" spans="2:32" customFormat="1" x14ac:dyDescent="0.25">
      <c r="B992" s="127"/>
      <c r="D992" s="234"/>
      <c r="E992" s="234"/>
      <c r="V992" s="262"/>
      <c r="W992" s="254"/>
      <c r="X992" s="254"/>
      <c r="Y992" s="154"/>
      <c r="Z992" s="6"/>
      <c r="AA992" s="6"/>
      <c r="AB992" s="6"/>
      <c r="AC992" s="6"/>
      <c r="AD992" s="6"/>
      <c r="AE992" s="75"/>
      <c r="AF992" s="45"/>
    </row>
    <row r="993" spans="2:32" customFormat="1" x14ac:dyDescent="0.25">
      <c r="B993" s="127"/>
      <c r="D993" s="234"/>
      <c r="E993" s="234"/>
      <c r="V993" s="262"/>
      <c r="W993" s="254"/>
      <c r="X993" s="254"/>
      <c r="Y993" s="154"/>
      <c r="Z993" s="6"/>
      <c r="AA993" s="6"/>
      <c r="AB993" s="6"/>
      <c r="AC993" s="6"/>
      <c r="AD993" s="6"/>
      <c r="AE993" s="75"/>
      <c r="AF993" s="45"/>
    </row>
    <row r="994" spans="2:32" customFormat="1" x14ac:dyDescent="0.25">
      <c r="B994" s="127"/>
      <c r="D994" s="234"/>
      <c r="E994" s="234"/>
      <c r="V994" s="262"/>
      <c r="W994" s="254"/>
      <c r="X994" s="254"/>
      <c r="Y994" s="154"/>
      <c r="Z994" s="6"/>
      <c r="AA994" s="6"/>
      <c r="AB994" s="6"/>
      <c r="AC994" s="6"/>
      <c r="AD994" s="6"/>
      <c r="AE994" s="75"/>
      <c r="AF994" s="45"/>
    </row>
    <row r="995" spans="2:32" customFormat="1" x14ac:dyDescent="0.25">
      <c r="B995" s="127"/>
      <c r="D995" s="234"/>
      <c r="E995" s="234"/>
      <c r="V995" s="262"/>
      <c r="W995" s="254"/>
      <c r="X995" s="254"/>
      <c r="Y995" s="154"/>
      <c r="Z995" s="6"/>
      <c r="AA995" s="6"/>
      <c r="AB995" s="6"/>
      <c r="AC995" s="6"/>
      <c r="AD995" s="6"/>
      <c r="AE995" s="75"/>
      <c r="AF995" s="45"/>
    </row>
    <row r="996" spans="2:32" customFormat="1" x14ac:dyDescent="0.25">
      <c r="B996" s="127"/>
      <c r="D996" s="234"/>
      <c r="E996" s="234"/>
      <c r="V996" s="262"/>
      <c r="W996" s="254"/>
      <c r="X996" s="254"/>
      <c r="Y996" s="154"/>
      <c r="Z996" s="6"/>
      <c r="AA996" s="6"/>
      <c r="AB996" s="6"/>
      <c r="AC996" s="6"/>
      <c r="AD996" s="6"/>
      <c r="AE996" s="75"/>
      <c r="AF996" s="45"/>
    </row>
    <row r="997" spans="2:32" customFormat="1" x14ac:dyDescent="0.25">
      <c r="B997" s="127"/>
      <c r="D997" s="234"/>
      <c r="E997" s="234"/>
      <c r="V997" s="262"/>
      <c r="W997" s="254"/>
      <c r="X997" s="254"/>
      <c r="Y997" s="154"/>
      <c r="Z997" s="6"/>
      <c r="AA997" s="6"/>
      <c r="AB997" s="6"/>
      <c r="AC997" s="6"/>
      <c r="AD997" s="6"/>
      <c r="AE997" s="75"/>
      <c r="AF997" s="45"/>
    </row>
    <row r="998" spans="2:32" customFormat="1" x14ac:dyDescent="0.25">
      <c r="B998" s="127"/>
      <c r="D998" s="234"/>
      <c r="E998" s="234"/>
      <c r="V998" s="262"/>
      <c r="W998" s="254"/>
      <c r="X998" s="254"/>
      <c r="Y998" s="154"/>
      <c r="Z998" s="6"/>
      <c r="AA998" s="6"/>
      <c r="AB998" s="6"/>
      <c r="AC998" s="6"/>
      <c r="AD998" s="6"/>
      <c r="AE998" s="75"/>
      <c r="AF998" s="45"/>
    </row>
    <row r="999" spans="2:32" customFormat="1" x14ac:dyDescent="0.25">
      <c r="B999" s="127"/>
      <c r="D999" s="234"/>
      <c r="E999" s="234"/>
      <c r="V999" s="262"/>
      <c r="W999" s="254"/>
      <c r="X999" s="254"/>
      <c r="Y999" s="154"/>
      <c r="Z999" s="6"/>
      <c r="AA999" s="6"/>
      <c r="AB999" s="6"/>
      <c r="AC999" s="6"/>
      <c r="AD999" s="6"/>
      <c r="AE999" s="75"/>
      <c r="AF999" s="45"/>
    </row>
    <row r="1000" spans="2:32" customFormat="1" x14ac:dyDescent="0.25">
      <c r="B1000" s="127"/>
      <c r="D1000" s="234"/>
      <c r="E1000" s="234"/>
      <c r="V1000" s="262"/>
      <c r="W1000" s="254"/>
      <c r="X1000" s="254"/>
      <c r="Y1000" s="154"/>
      <c r="Z1000" s="6"/>
      <c r="AA1000" s="6"/>
      <c r="AB1000" s="6"/>
      <c r="AC1000" s="6"/>
      <c r="AD1000" s="6"/>
      <c r="AE1000" s="75"/>
      <c r="AF1000" s="45"/>
    </row>
    <row r="1001" spans="2:32" customFormat="1" x14ac:dyDescent="0.25">
      <c r="B1001" s="127"/>
      <c r="D1001" s="234"/>
      <c r="E1001" s="234"/>
      <c r="V1001" s="262"/>
      <c r="W1001" s="254"/>
      <c r="X1001" s="254"/>
      <c r="Y1001" s="154"/>
      <c r="Z1001" s="6"/>
      <c r="AA1001" s="6"/>
      <c r="AB1001" s="6"/>
      <c r="AC1001" s="6"/>
      <c r="AD1001" s="6"/>
      <c r="AE1001" s="75"/>
      <c r="AF1001" s="45"/>
    </row>
    <row r="1002" spans="2:32" customFormat="1" x14ac:dyDescent="0.25">
      <c r="B1002" s="127"/>
      <c r="D1002" s="234"/>
      <c r="E1002" s="234"/>
      <c r="V1002" s="262"/>
      <c r="W1002" s="254"/>
      <c r="X1002" s="254"/>
      <c r="Y1002" s="154"/>
      <c r="Z1002" s="6"/>
      <c r="AA1002" s="6"/>
      <c r="AB1002" s="6"/>
      <c r="AC1002" s="6"/>
      <c r="AD1002" s="6"/>
      <c r="AE1002" s="75"/>
      <c r="AF1002" s="45"/>
    </row>
    <row r="1003" spans="2:32" customFormat="1" x14ac:dyDescent="0.25">
      <c r="B1003" s="127"/>
      <c r="D1003" s="234"/>
      <c r="E1003" s="234"/>
      <c r="V1003" s="262"/>
      <c r="W1003" s="254"/>
      <c r="X1003" s="254"/>
      <c r="Y1003" s="154"/>
      <c r="Z1003" s="6"/>
      <c r="AA1003" s="6"/>
      <c r="AB1003" s="6"/>
      <c r="AC1003" s="6"/>
      <c r="AD1003" s="6"/>
      <c r="AE1003" s="75"/>
      <c r="AF1003" s="45"/>
    </row>
    <row r="1004" spans="2:32" customFormat="1" x14ac:dyDescent="0.25">
      <c r="B1004" s="127"/>
      <c r="D1004" s="234"/>
      <c r="E1004" s="234"/>
      <c r="V1004" s="262"/>
      <c r="W1004" s="254"/>
      <c r="X1004" s="254"/>
      <c r="Y1004" s="154"/>
      <c r="Z1004" s="6"/>
      <c r="AA1004" s="6"/>
      <c r="AB1004" s="6"/>
      <c r="AC1004" s="6"/>
      <c r="AD1004" s="6"/>
      <c r="AE1004" s="75"/>
      <c r="AF1004" s="45"/>
    </row>
    <row r="1005" spans="2:32" customFormat="1" x14ac:dyDescent="0.25">
      <c r="B1005" s="127"/>
      <c r="D1005" s="234"/>
      <c r="E1005" s="234"/>
      <c r="V1005" s="262"/>
      <c r="W1005" s="254"/>
      <c r="X1005" s="254"/>
      <c r="Y1005" s="154"/>
      <c r="Z1005" s="6"/>
      <c r="AA1005" s="6"/>
      <c r="AB1005" s="6"/>
      <c r="AC1005" s="6"/>
      <c r="AD1005" s="6"/>
      <c r="AE1005" s="75"/>
      <c r="AF1005" s="45"/>
    </row>
    <row r="1006" spans="2:32" customFormat="1" x14ac:dyDescent="0.25">
      <c r="B1006" s="127"/>
      <c r="D1006" s="234"/>
      <c r="E1006" s="234"/>
      <c r="V1006" s="262"/>
      <c r="W1006" s="254"/>
      <c r="X1006" s="254"/>
      <c r="Y1006" s="154"/>
      <c r="Z1006" s="6"/>
      <c r="AA1006" s="6"/>
      <c r="AB1006" s="6"/>
      <c r="AC1006" s="6"/>
      <c r="AD1006" s="6"/>
      <c r="AE1006" s="75"/>
      <c r="AF1006" s="45"/>
    </row>
    <row r="1007" spans="2:32" customFormat="1" x14ac:dyDescent="0.25">
      <c r="B1007" s="127"/>
      <c r="D1007" s="234"/>
      <c r="E1007" s="234"/>
      <c r="V1007" s="262"/>
      <c r="W1007" s="254"/>
      <c r="X1007" s="254"/>
      <c r="Y1007" s="154"/>
      <c r="Z1007" s="6"/>
      <c r="AA1007" s="6"/>
      <c r="AB1007" s="6"/>
      <c r="AC1007" s="6"/>
      <c r="AD1007" s="6"/>
      <c r="AE1007" s="75"/>
      <c r="AF1007" s="45"/>
    </row>
    <row r="1008" spans="2:32" customFormat="1" x14ac:dyDescent="0.25">
      <c r="B1008" s="127"/>
      <c r="D1008" s="234"/>
      <c r="E1008" s="234"/>
      <c r="V1008" s="262"/>
      <c r="W1008" s="254"/>
      <c r="X1008" s="254"/>
      <c r="Y1008" s="154"/>
      <c r="Z1008" s="6"/>
      <c r="AA1008" s="6"/>
      <c r="AB1008" s="6"/>
      <c r="AC1008" s="6"/>
      <c r="AD1008" s="6"/>
      <c r="AE1008" s="75"/>
      <c r="AF1008" s="45"/>
    </row>
    <row r="1009" spans="2:32" customFormat="1" x14ac:dyDescent="0.25">
      <c r="B1009" s="127"/>
      <c r="D1009" s="234"/>
      <c r="E1009" s="234"/>
      <c r="V1009" s="262"/>
      <c r="W1009" s="254"/>
      <c r="X1009" s="254"/>
      <c r="Y1009" s="154"/>
      <c r="Z1009" s="6"/>
      <c r="AA1009" s="6"/>
      <c r="AB1009" s="6"/>
      <c r="AC1009" s="6"/>
      <c r="AD1009" s="6"/>
      <c r="AE1009" s="75"/>
      <c r="AF1009" s="45"/>
    </row>
    <row r="1010" spans="2:32" customFormat="1" x14ac:dyDescent="0.25">
      <c r="B1010" s="127"/>
      <c r="D1010" s="234"/>
      <c r="E1010" s="234"/>
      <c r="V1010" s="262"/>
      <c r="W1010" s="254"/>
      <c r="X1010" s="254"/>
      <c r="Y1010" s="154"/>
      <c r="Z1010" s="6"/>
      <c r="AA1010" s="6"/>
      <c r="AB1010" s="6"/>
      <c r="AC1010" s="6"/>
      <c r="AD1010" s="6"/>
      <c r="AE1010" s="75"/>
      <c r="AF1010" s="45"/>
    </row>
    <row r="1011" spans="2:32" customFormat="1" x14ac:dyDescent="0.25">
      <c r="B1011" s="127"/>
      <c r="D1011" s="234"/>
      <c r="E1011" s="234"/>
      <c r="V1011" s="262"/>
      <c r="W1011" s="254"/>
      <c r="X1011" s="254"/>
      <c r="Y1011" s="154"/>
      <c r="Z1011" s="6"/>
      <c r="AA1011" s="6"/>
      <c r="AB1011" s="6"/>
      <c r="AC1011" s="6"/>
      <c r="AD1011" s="6"/>
      <c r="AE1011" s="75"/>
      <c r="AF1011" s="45"/>
    </row>
    <row r="1012" spans="2:32" customFormat="1" x14ac:dyDescent="0.25">
      <c r="B1012" s="127"/>
      <c r="D1012" s="234"/>
      <c r="E1012" s="234"/>
      <c r="V1012" s="262"/>
      <c r="W1012" s="254"/>
      <c r="X1012" s="254"/>
      <c r="Y1012" s="154"/>
      <c r="Z1012" s="6"/>
      <c r="AA1012" s="6"/>
      <c r="AB1012" s="6"/>
      <c r="AC1012" s="6"/>
      <c r="AD1012" s="6"/>
      <c r="AE1012" s="75"/>
      <c r="AF1012" s="45"/>
    </row>
    <row r="1013" spans="2:32" customFormat="1" x14ac:dyDescent="0.25">
      <c r="B1013" s="127"/>
      <c r="D1013" s="234"/>
      <c r="E1013" s="234"/>
      <c r="V1013" s="262"/>
      <c r="W1013" s="254"/>
      <c r="X1013" s="254"/>
      <c r="Y1013" s="154"/>
      <c r="Z1013" s="6"/>
      <c r="AA1013" s="6"/>
      <c r="AB1013" s="6"/>
      <c r="AC1013" s="6"/>
      <c r="AD1013" s="6"/>
      <c r="AE1013" s="75"/>
      <c r="AF1013" s="45"/>
    </row>
    <row r="1014" spans="2:32" customFormat="1" x14ac:dyDescent="0.25">
      <c r="B1014" s="127"/>
      <c r="D1014" s="234"/>
      <c r="E1014" s="234"/>
      <c r="V1014" s="262"/>
      <c r="W1014" s="254"/>
      <c r="X1014" s="254"/>
      <c r="Y1014" s="154"/>
      <c r="Z1014" s="6"/>
      <c r="AA1014" s="6"/>
      <c r="AB1014" s="6"/>
      <c r="AC1014" s="6"/>
      <c r="AD1014" s="6"/>
      <c r="AE1014" s="75"/>
      <c r="AF1014" s="45"/>
    </row>
    <row r="1015" spans="2:32" customFormat="1" x14ac:dyDescent="0.25">
      <c r="B1015" s="127"/>
      <c r="D1015" s="234"/>
      <c r="E1015" s="234"/>
      <c r="V1015" s="262"/>
      <c r="W1015" s="254"/>
      <c r="X1015" s="254"/>
      <c r="Y1015" s="154"/>
      <c r="Z1015" s="6"/>
      <c r="AA1015" s="6"/>
      <c r="AB1015" s="6"/>
      <c r="AC1015" s="6"/>
      <c r="AD1015" s="6"/>
      <c r="AE1015" s="75"/>
      <c r="AF1015" s="45"/>
    </row>
    <row r="1016" spans="2:32" customFormat="1" x14ac:dyDescent="0.25">
      <c r="B1016" s="127"/>
      <c r="D1016" s="234"/>
      <c r="E1016" s="234"/>
      <c r="V1016" s="262"/>
      <c r="W1016" s="254"/>
      <c r="X1016" s="254"/>
      <c r="Y1016" s="154"/>
      <c r="Z1016" s="6"/>
      <c r="AA1016" s="6"/>
      <c r="AB1016" s="6"/>
      <c r="AC1016" s="6"/>
      <c r="AD1016" s="6"/>
      <c r="AE1016" s="75"/>
      <c r="AF1016" s="45"/>
    </row>
    <row r="1017" spans="2:32" customFormat="1" x14ac:dyDescent="0.25">
      <c r="B1017" s="127"/>
      <c r="D1017" s="234"/>
      <c r="E1017" s="234"/>
      <c r="V1017" s="262"/>
      <c r="W1017" s="254"/>
      <c r="X1017" s="254"/>
      <c r="Y1017" s="154"/>
      <c r="Z1017" s="6"/>
      <c r="AA1017" s="6"/>
      <c r="AB1017" s="6"/>
      <c r="AC1017" s="6"/>
      <c r="AD1017" s="6"/>
      <c r="AE1017" s="75"/>
      <c r="AF1017" s="45"/>
    </row>
    <row r="1018" spans="2:32" customFormat="1" x14ac:dyDescent="0.25">
      <c r="B1018" s="127"/>
      <c r="D1018" s="234"/>
      <c r="E1018" s="234"/>
      <c r="V1018" s="262"/>
      <c r="W1018" s="254"/>
      <c r="X1018" s="254"/>
      <c r="Y1018" s="154"/>
      <c r="Z1018" s="6"/>
      <c r="AA1018" s="6"/>
      <c r="AB1018" s="6"/>
      <c r="AC1018" s="6"/>
      <c r="AD1018" s="6"/>
      <c r="AE1018" s="75"/>
      <c r="AF1018" s="45"/>
    </row>
    <row r="1019" spans="2:32" customFormat="1" x14ac:dyDescent="0.25">
      <c r="B1019" s="127"/>
      <c r="D1019" s="234"/>
      <c r="E1019" s="234"/>
      <c r="V1019" s="262"/>
      <c r="W1019" s="254"/>
      <c r="X1019" s="254"/>
      <c r="Y1019" s="154"/>
      <c r="Z1019" s="6"/>
      <c r="AA1019" s="6"/>
      <c r="AB1019" s="6"/>
      <c r="AC1019" s="6"/>
      <c r="AD1019" s="6"/>
      <c r="AE1019" s="75"/>
      <c r="AF1019" s="45"/>
    </row>
    <row r="1020" spans="2:32" customFormat="1" x14ac:dyDescent="0.25">
      <c r="B1020" s="127"/>
      <c r="D1020" s="234"/>
      <c r="E1020" s="234"/>
      <c r="V1020" s="262"/>
      <c r="W1020" s="254"/>
      <c r="X1020" s="254"/>
      <c r="Y1020" s="154"/>
      <c r="Z1020" s="6"/>
      <c r="AA1020" s="6"/>
      <c r="AB1020" s="6"/>
      <c r="AC1020" s="6"/>
      <c r="AD1020" s="6"/>
      <c r="AE1020" s="75"/>
      <c r="AF1020" s="45"/>
    </row>
    <row r="1021" spans="2:32" customFormat="1" x14ac:dyDescent="0.25">
      <c r="B1021" s="127"/>
      <c r="D1021" s="234"/>
      <c r="E1021" s="234"/>
      <c r="V1021" s="262"/>
      <c r="W1021" s="254"/>
      <c r="X1021" s="254"/>
      <c r="Y1021" s="154"/>
      <c r="Z1021" s="6"/>
      <c r="AA1021" s="6"/>
      <c r="AB1021" s="6"/>
      <c r="AC1021" s="6"/>
      <c r="AD1021" s="6"/>
      <c r="AE1021" s="75"/>
      <c r="AF1021" s="45"/>
    </row>
    <row r="1022" spans="2:32" customFormat="1" x14ac:dyDescent="0.25">
      <c r="B1022" s="127"/>
      <c r="D1022" s="234"/>
      <c r="E1022" s="234"/>
      <c r="V1022" s="262"/>
      <c r="W1022" s="254"/>
      <c r="X1022" s="254"/>
      <c r="Y1022" s="154"/>
      <c r="Z1022" s="6"/>
      <c r="AA1022" s="6"/>
      <c r="AB1022" s="6"/>
      <c r="AC1022" s="6"/>
      <c r="AD1022" s="6"/>
      <c r="AE1022" s="75"/>
      <c r="AF1022" s="45"/>
    </row>
    <row r="1023" spans="2:32" customFormat="1" x14ac:dyDescent="0.25">
      <c r="B1023" s="127"/>
      <c r="D1023" s="234"/>
      <c r="E1023" s="234"/>
      <c r="V1023" s="262"/>
      <c r="W1023" s="254"/>
      <c r="X1023" s="254"/>
      <c r="Y1023" s="154"/>
      <c r="Z1023" s="6"/>
      <c r="AA1023" s="6"/>
      <c r="AB1023" s="6"/>
      <c r="AC1023" s="6"/>
      <c r="AD1023" s="6"/>
      <c r="AE1023" s="75"/>
      <c r="AF1023" s="45"/>
    </row>
    <row r="1024" spans="2:32" customFormat="1" x14ac:dyDescent="0.25">
      <c r="B1024" s="127"/>
      <c r="D1024" s="234"/>
      <c r="E1024" s="234"/>
      <c r="V1024" s="262"/>
      <c r="W1024" s="254"/>
      <c r="X1024" s="254"/>
      <c r="Y1024" s="154"/>
      <c r="Z1024" s="6"/>
      <c r="AA1024" s="6"/>
      <c r="AB1024" s="6"/>
      <c r="AC1024" s="6"/>
      <c r="AD1024" s="6"/>
      <c r="AE1024" s="75"/>
      <c r="AF1024" s="45"/>
    </row>
    <row r="1025" spans="2:32" customFormat="1" x14ac:dyDescent="0.25">
      <c r="B1025" s="127"/>
      <c r="D1025" s="234"/>
      <c r="E1025" s="234"/>
      <c r="V1025" s="262"/>
      <c r="W1025" s="254"/>
      <c r="X1025" s="254"/>
      <c r="Y1025" s="154"/>
      <c r="Z1025" s="6"/>
      <c r="AA1025" s="6"/>
      <c r="AB1025" s="6"/>
      <c r="AC1025" s="6"/>
      <c r="AD1025" s="6"/>
      <c r="AE1025" s="75"/>
      <c r="AF1025" s="45"/>
    </row>
    <row r="1026" spans="2:32" customFormat="1" x14ac:dyDescent="0.25">
      <c r="B1026" s="127"/>
      <c r="D1026" s="234"/>
      <c r="E1026" s="234"/>
      <c r="V1026" s="262"/>
      <c r="W1026" s="254"/>
      <c r="X1026" s="254"/>
      <c r="Y1026" s="154"/>
      <c r="Z1026" s="6"/>
      <c r="AA1026" s="6"/>
      <c r="AB1026" s="6"/>
      <c r="AC1026" s="6"/>
      <c r="AD1026" s="6"/>
      <c r="AE1026" s="75"/>
      <c r="AF1026" s="45"/>
    </row>
    <row r="1027" spans="2:32" customFormat="1" x14ac:dyDescent="0.25">
      <c r="B1027" s="127"/>
      <c r="D1027" s="234"/>
      <c r="E1027" s="234"/>
      <c r="V1027" s="262"/>
      <c r="W1027" s="254"/>
      <c r="X1027" s="254"/>
      <c r="Y1027" s="154"/>
      <c r="Z1027" s="6"/>
      <c r="AA1027" s="6"/>
      <c r="AB1027" s="6"/>
      <c r="AC1027" s="6"/>
      <c r="AD1027" s="6"/>
      <c r="AE1027" s="75"/>
      <c r="AF1027" s="45"/>
    </row>
    <row r="1028" spans="2:32" customFormat="1" x14ac:dyDescent="0.25">
      <c r="B1028" s="127"/>
      <c r="D1028" s="234"/>
      <c r="E1028" s="234"/>
      <c r="V1028" s="262"/>
      <c r="W1028" s="254"/>
      <c r="X1028" s="254"/>
      <c r="Y1028" s="154"/>
      <c r="Z1028" s="6"/>
      <c r="AA1028" s="6"/>
      <c r="AB1028" s="6"/>
      <c r="AC1028" s="6"/>
      <c r="AD1028" s="6"/>
      <c r="AE1028" s="75"/>
      <c r="AF1028" s="45"/>
    </row>
    <row r="1029" spans="2:32" customFormat="1" x14ac:dyDescent="0.25">
      <c r="B1029" s="127"/>
      <c r="D1029" s="234"/>
      <c r="E1029" s="234"/>
      <c r="V1029" s="262"/>
      <c r="W1029" s="254"/>
      <c r="X1029" s="254"/>
      <c r="Y1029" s="154"/>
      <c r="Z1029" s="6"/>
      <c r="AA1029" s="6"/>
      <c r="AB1029" s="6"/>
      <c r="AC1029" s="6"/>
      <c r="AD1029" s="6"/>
      <c r="AE1029" s="75"/>
      <c r="AF1029" s="45"/>
    </row>
    <row r="1030" spans="2:32" customFormat="1" x14ac:dyDescent="0.25">
      <c r="B1030" s="127"/>
      <c r="D1030" s="234"/>
      <c r="E1030" s="234"/>
      <c r="V1030" s="262"/>
      <c r="W1030" s="254"/>
      <c r="X1030" s="254"/>
      <c r="Y1030" s="154"/>
      <c r="Z1030" s="6"/>
      <c r="AA1030" s="6"/>
      <c r="AB1030" s="6"/>
      <c r="AC1030" s="6"/>
      <c r="AD1030" s="6"/>
      <c r="AE1030" s="75"/>
      <c r="AF1030" s="45"/>
    </row>
    <row r="1031" spans="2:32" customFormat="1" x14ac:dyDescent="0.25">
      <c r="B1031" s="127"/>
      <c r="D1031" s="234"/>
      <c r="E1031" s="234"/>
      <c r="V1031" s="262"/>
      <c r="W1031" s="254"/>
      <c r="X1031" s="254"/>
      <c r="Y1031" s="154"/>
      <c r="Z1031" s="6"/>
      <c r="AA1031" s="6"/>
      <c r="AB1031" s="6"/>
      <c r="AC1031" s="6"/>
      <c r="AD1031" s="6"/>
      <c r="AE1031" s="75"/>
      <c r="AF1031" s="45"/>
    </row>
    <row r="1032" spans="2:32" customFormat="1" x14ac:dyDescent="0.25">
      <c r="B1032" s="127"/>
      <c r="D1032" s="234"/>
      <c r="E1032" s="234"/>
      <c r="V1032" s="262"/>
      <c r="W1032" s="254"/>
      <c r="X1032" s="254"/>
      <c r="Y1032" s="154"/>
      <c r="Z1032" s="6"/>
      <c r="AA1032" s="6"/>
      <c r="AB1032" s="6"/>
      <c r="AC1032" s="6"/>
      <c r="AD1032" s="6"/>
      <c r="AE1032" s="75"/>
      <c r="AF1032" s="45"/>
    </row>
    <row r="1033" spans="2:32" customFormat="1" x14ac:dyDescent="0.25">
      <c r="B1033" s="127"/>
      <c r="D1033" s="234"/>
      <c r="E1033" s="234"/>
      <c r="V1033" s="262"/>
      <c r="W1033" s="254"/>
      <c r="X1033" s="254"/>
      <c r="Y1033" s="154"/>
      <c r="Z1033" s="6"/>
      <c r="AA1033" s="6"/>
      <c r="AB1033" s="6"/>
      <c r="AC1033" s="6"/>
      <c r="AD1033" s="6"/>
      <c r="AE1033" s="75"/>
      <c r="AF1033" s="45"/>
    </row>
    <row r="1034" spans="2:32" customFormat="1" x14ac:dyDescent="0.25">
      <c r="B1034" s="127"/>
      <c r="D1034" s="234"/>
      <c r="E1034" s="234"/>
      <c r="V1034" s="262"/>
      <c r="W1034" s="254"/>
      <c r="X1034" s="254"/>
      <c r="Y1034" s="154"/>
      <c r="Z1034" s="6"/>
      <c r="AA1034" s="6"/>
      <c r="AB1034" s="6"/>
      <c r="AC1034" s="6"/>
      <c r="AD1034" s="6"/>
      <c r="AE1034" s="75"/>
      <c r="AF1034" s="45"/>
    </row>
    <row r="1035" spans="2:32" customFormat="1" x14ac:dyDescent="0.25">
      <c r="B1035" s="127"/>
      <c r="D1035" s="234"/>
      <c r="E1035" s="234"/>
      <c r="V1035" s="262"/>
      <c r="W1035" s="254"/>
      <c r="X1035" s="254"/>
      <c r="Y1035" s="154"/>
      <c r="Z1035" s="6"/>
      <c r="AA1035" s="6"/>
      <c r="AB1035" s="6"/>
      <c r="AC1035" s="6"/>
      <c r="AD1035" s="6"/>
      <c r="AE1035" s="75"/>
      <c r="AF1035" s="45"/>
    </row>
    <row r="1036" spans="2:32" customFormat="1" x14ac:dyDescent="0.25">
      <c r="B1036" s="127"/>
      <c r="D1036" s="234"/>
      <c r="E1036" s="234"/>
      <c r="V1036" s="262"/>
      <c r="W1036" s="254"/>
      <c r="X1036" s="254"/>
      <c r="Y1036" s="154"/>
      <c r="Z1036" s="6"/>
      <c r="AA1036" s="6"/>
      <c r="AB1036" s="6"/>
      <c r="AC1036" s="6"/>
      <c r="AD1036" s="6"/>
      <c r="AE1036" s="75"/>
      <c r="AF1036" s="45"/>
    </row>
    <row r="1037" spans="2:32" customFormat="1" x14ac:dyDescent="0.25">
      <c r="B1037" s="127"/>
      <c r="D1037" s="234"/>
      <c r="E1037" s="234"/>
      <c r="V1037" s="262"/>
      <c r="W1037" s="254"/>
      <c r="X1037" s="254"/>
      <c r="Y1037" s="154"/>
      <c r="Z1037" s="6"/>
      <c r="AA1037" s="6"/>
      <c r="AB1037" s="6"/>
      <c r="AC1037" s="6"/>
      <c r="AD1037" s="6"/>
      <c r="AE1037" s="75"/>
      <c r="AF1037" s="45"/>
    </row>
    <row r="1038" spans="2:32" customFormat="1" x14ac:dyDescent="0.25">
      <c r="B1038" s="127"/>
      <c r="D1038" s="234"/>
      <c r="E1038" s="234"/>
      <c r="V1038" s="262"/>
      <c r="W1038" s="254"/>
      <c r="X1038" s="254"/>
      <c r="Y1038" s="154"/>
      <c r="Z1038" s="6"/>
      <c r="AA1038" s="6"/>
      <c r="AB1038" s="6"/>
      <c r="AC1038" s="6"/>
      <c r="AD1038" s="6"/>
      <c r="AE1038" s="75"/>
      <c r="AF1038" s="45"/>
    </row>
    <row r="1039" spans="2:32" customFormat="1" x14ac:dyDescent="0.25">
      <c r="B1039" s="127"/>
      <c r="D1039" s="234"/>
      <c r="E1039" s="234"/>
      <c r="V1039" s="262"/>
      <c r="W1039" s="254"/>
      <c r="X1039" s="254"/>
      <c r="Y1039" s="154"/>
      <c r="Z1039" s="6"/>
      <c r="AA1039" s="6"/>
      <c r="AB1039" s="6"/>
      <c r="AC1039" s="6"/>
      <c r="AD1039" s="6"/>
      <c r="AE1039" s="75"/>
      <c r="AF1039" s="45"/>
    </row>
    <row r="1040" spans="2:32" customFormat="1" x14ac:dyDescent="0.25">
      <c r="B1040" s="127"/>
      <c r="D1040" s="234"/>
      <c r="E1040" s="234"/>
      <c r="V1040" s="262"/>
      <c r="W1040" s="254"/>
      <c r="X1040" s="254"/>
      <c r="Y1040" s="154"/>
      <c r="Z1040" s="6"/>
      <c r="AA1040" s="6"/>
      <c r="AB1040" s="6"/>
      <c r="AC1040" s="6"/>
      <c r="AD1040" s="6"/>
      <c r="AE1040" s="75"/>
      <c r="AF1040" s="45"/>
    </row>
    <row r="1041" spans="2:32" customFormat="1" x14ac:dyDescent="0.25">
      <c r="B1041" s="127"/>
      <c r="D1041" s="234"/>
      <c r="E1041" s="234"/>
      <c r="V1041" s="262"/>
      <c r="W1041" s="254"/>
      <c r="X1041" s="254"/>
      <c r="Y1041" s="154"/>
      <c r="Z1041" s="6"/>
      <c r="AA1041" s="6"/>
      <c r="AB1041" s="6"/>
      <c r="AC1041" s="6"/>
      <c r="AD1041" s="6"/>
      <c r="AE1041" s="75"/>
      <c r="AF1041" s="45"/>
    </row>
    <row r="1042" spans="2:32" customFormat="1" x14ac:dyDescent="0.25">
      <c r="B1042" s="127"/>
      <c r="D1042" s="234"/>
      <c r="E1042" s="234"/>
      <c r="V1042" s="262"/>
      <c r="W1042" s="254"/>
      <c r="X1042" s="254"/>
      <c r="Y1042" s="154"/>
      <c r="Z1042" s="6"/>
      <c r="AA1042" s="6"/>
      <c r="AB1042" s="6"/>
      <c r="AC1042" s="6"/>
      <c r="AD1042" s="6"/>
      <c r="AE1042" s="75"/>
      <c r="AF1042" s="45"/>
    </row>
    <row r="1043" spans="2:32" customFormat="1" x14ac:dyDescent="0.25">
      <c r="B1043" s="127"/>
      <c r="D1043" s="234"/>
      <c r="E1043" s="234"/>
      <c r="V1043" s="262"/>
      <c r="W1043" s="254"/>
      <c r="X1043" s="254"/>
      <c r="Y1043" s="154"/>
      <c r="Z1043" s="6"/>
      <c r="AA1043" s="6"/>
      <c r="AB1043" s="6"/>
      <c r="AC1043" s="6"/>
      <c r="AD1043" s="6"/>
      <c r="AE1043" s="75"/>
      <c r="AF1043" s="45"/>
    </row>
    <row r="1044" spans="2:32" customFormat="1" x14ac:dyDescent="0.25">
      <c r="B1044" s="127"/>
      <c r="D1044" s="234"/>
      <c r="E1044" s="234"/>
      <c r="V1044" s="262"/>
      <c r="W1044" s="254"/>
      <c r="X1044" s="254"/>
      <c r="Y1044" s="154"/>
      <c r="Z1044" s="6"/>
      <c r="AA1044" s="6"/>
      <c r="AB1044" s="6"/>
      <c r="AC1044" s="6"/>
      <c r="AD1044" s="6"/>
      <c r="AE1044" s="75"/>
      <c r="AF1044" s="45"/>
    </row>
    <row r="1045" spans="2:32" customFormat="1" x14ac:dyDescent="0.25">
      <c r="B1045" s="127"/>
      <c r="D1045" s="234"/>
      <c r="E1045" s="234"/>
      <c r="V1045" s="262"/>
      <c r="W1045" s="254"/>
      <c r="X1045" s="254"/>
      <c r="Y1045" s="154"/>
      <c r="Z1045" s="6"/>
      <c r="AA1045" s="6"/>
      <c r="AB1045" s="6"/>
      <c r="AC1045" s="6"/>
      <c r="AD1045" s="6"/>
      <c r="AE1045" s="75"/>
      <c r="AF1045" s="45"/>
    </row>
    <row r="1046" spans="2:32" customFormat="1" x14ac:dyDescent="0.25">
      <c r="B1046" s="127"/>
      <c r="D1046" s="234"/>
      <c r="E1046" s="234"/>
      <c r="V1046" s="262"/>
      <c r="W1046" s="254"/>
      <c r="X1046" s="254"/>
      <c r="Y1046" s="154"/>
      <c r="Z1046" s="6"/>
      <c r="AA1046" s="6"/>
      <c r="AB1046" s="6"/>
      <c r="AC1046" s="6"/>
      <c r="AD1046" s="6"/>
      <c r="AE1046" s="75"/>
      <c r="AF1046" s="45"/>
    </row>
    <row r="1047" spans="2:32" customFormat="1" x14ac:dyDescent="0.25">
      <c r="B1047" s="127"/>
      <c r="D1047" s="234"/>
      <c r="E1047" s="234"/>
      <c r="V1047" s="262"/>
      <c r="W1047" s="254"/>
      <c r="X1047" s="254"/>
      <c r="Y1047" s="154"/>
      <c r="Z1047" s="6"/>
      <c r="AA1047" s="6"/>
      <c r="AB1047" s="6"/>
      <c r="AC1047" s="6"/>
      <c r="AD1047" s="6"/>
      <c r="AE1047" s="75"/>
      <c r="AF1047" s="45"/>
    </row>
    <row r="1048" spans="2:32" customFormat="1" x14ac:dyDescent="0.25">
      <c r="B1048" s="127"/>
      <c r="D1048" s="234"/>
      <c r="E1048" s="234"/>
      <c r="V1048" s="262"/>
      <c r="W1048" s="254"/>
      <c r="X1048" s="254"/>
      <c r="Y1048" s="154"/>
      <c r="Z1048" s="6"/>
      <c r="AA1048" s="6"/>
      <c r="AB1048" s="6"/>
      <c r="AC1048" s="6"/>
      <c r="AD1048" s="6"/>
      <c r="AE1048" s="75"/>
      <c r="AF1048" s="45"/>
    </row>
    <row r="1049" spans="2:32" customFormat="1" x14ac:dyDescent="0.25">
      <c r="B1049" s="127"/>
      <c r="D1049" s="234"/>
      <c r="E1049" s="234"/>
      <c r="V1049" s="262"/>
      <c r="W1049" s="254"/>
      <c r="X1049" s="254"/>
      <c r="Y1049" s="154"/>
      <c r="Z1049" s="6"/>
      <c r="AA1049" s="6"/>
      <c r="AB1049" s="6"/>
      <c r="AC1049" s="6"/>
      <c r="AD1049" s="6"/>
      <c r="AE1049" s="75"/>
      <c r="AF1049" s="45"/>
    </row>
    <row r="1050" spans="2:32" customFormat="1" x14ac:dyDescent="0.25">
      <c r="B1050" s="127"/>
      <c r="D1050" s="234"/>
      <c r="E1050" s="234"/>
      <c r="V1050" s="262"/>
      <c r="W1050" s="254"/>
      <c r="X1050" s="254"/>
      <c r="Y1050" s="154"/>
      <c r="Z1050" s="6"/>
      <c r="AA1050" s="6"/>
      <c r="AB1050" s="6"/>
      <c r="AC1050" s="6"/>
      <c r="AD1050" s="6"/>
      <c r="AE1050" s="75"/>
      <c r="AF1050" s="45"/>
    </row>
    <row r="1051" spans="2:32" customFormat="1" x14ac:dyDescent="0.25">
      <c r="B1051" s="127"/>
      <c r="D1051" s="234"/>
      <c r="E1051" s="234"/>
      <c r="V1051" s="262"/>
      <c r="W1051" s="254"/>
      <c r="X1051" s="254"/>
      <c r="Y1051" s="154"/>
      <c r="Z1051" s="6"/>
      <c r="AA1051" s="6"/>
      <c r="AB1051" s="6"/>
      <c r="AC1051" s="6"/>
      <c r="AD1051" s="6"/>
      <c r="AE1051" s="75"/>
      <c r="AF1051" s="45"/>
    </row>
    <row r="1052" spans="2:32" customFormat="1" x14ac:dyDescent="0.25">
      <c r="B1052" s="127"/>
      <c r="D1052" s="234"/>
      <c r="E1052" s="234"/>
      <c r="V1052" s="262"/>
      <c r="W1052" s="254"/>
      <c r="X1052" s="254"/>
      <c r="Y1052" s="154"/>
      <c r="Z1052" s="6"/>
      <c r="AA1052" s="6"/>
      <c r="AB1052" s="6"/>
      <c r="AC1052" s="6"/>
      <c r="AD1052" s="6"/>
      <c r="AE1052" s="75"/>
      <c r="AF1052" s="45"/>
    </row>
    <row r="1053" spans="2:32" customFormat="1" x14ac:dyDescent="0.25">
      <c r="B1053" s="127"/>
      <c r="D1053" s="234"/>
      <c r="E1053" s="234"/>
      <c r="V1053" s="262"/>
      <c r="W1053" s="254"/>
      <c r="X1053" s="254"/>
      <c r="Y1053" s="154"/>
      <c r="Z1053" s="6"/>
      <c r="AA1053" s="6"/>
      <c r="AB1053" s="6"/>
      <c r="AC1053" s="6"/>
      <c r="AD1053" s="6"/>
      <c r="AE1053" s="75"/>
      <c r="AF1053" s="45"/>
    </row>
    <row r="1054" spans="2:32" customFormat="1" x14ac:dyDescent="0.25">
      <c r="B1054" s="127"/>
      <c r="D1054" s="234"/>
      <c r="E1054" s="234"/>
      <c r="V1054" s="262"/>
      <c r="W1054" s="254"/>
      <c r="X1054" s="254"/>
      <c r="Y1054" s="154"/>
      <c r="Z1054" s="6"/>
      <c r="AA1054" s="6"/>
      <c r="AB1054" s="6"/>
      <c r="AC1054" s="6"/>
      <c r="AD1054" s="6"/>
      <c r="AE1054" s="75"/>
      <c r="AF1054" s="45"/>
    </row>
    <row r="1055" spans="2:32" customFormat="1" x14ac:dyDescent="0.25">
      <c r="B1055" s="127"/>
      <c r="D1055" s="234"/>
      <c r="E1055" s="234"/>
      <c r="V1055" s="262"/>
      <c r="W1055" s="254"/>
      <c r="X1055" s="254"/>
      <c r="Y1055" s="154"/>
      <c r="Z1055" s="6"/>
      <c r="AA1055" s="6"/>
      <c r="AB1055" s="6"/>
      <c r="AC1055" s="6"/>
      <c r="AD1055" s="6"/>
      <c r="AE1055" s="75"/>
      <c r="AF1055" s="45"/>
    </row>
    <row r="1056" spans="2:32" customFormat="1" x14ac:dyDescent="0.25">
      <c r="B1056" s="127"/>
      <c r="D1056" s="234"/>
      <c r="E1056" s="234"/>
      <c r="V1056" s="262"/>
      <c r="W1056" s="254"/>
      <c r="X1056" s="254"/>
      <c r="Y1056" s="154"/>
      <c r="Z1056" s="6"/>
      <c r="AA1056" s="6"/>
      <c r="AB1056" s="6"/>
      <c r="AC1056" s="6"/>
      <c r="AD1056" s="6"/>
      <c r="AE1056" s="75"/>
      <c r="AF1056" s="45"/>
    </row>
    <row r="1057" spans="2:32" customFormat="1" x14ac:dyDescent="0.25">
      <c r="B1057" s="127"/>
      <c r="D1057" s="234"/>
      <c r="E1057" s="234"/>
      <c r="V1057" s="262"/>
      <c r="W1057" s="254"/>
      <c r="X1057" s="254"/>
      <c r="Y1057" s="154"/>
      <c r="Z1057" s="6"/>
      <c r="AA1057" s="6"/>
      <c r="AB1057" s="6"/>
      <c r="AC1057" s="6"/>
      <c r="AD1057" s="6"/>
      <c r="AE1057" s="75"/>
      <c r="AF1057" s="45"/>
    </row>
    <row r="1058" spans="2:32" customFormat="1" x14ac:dyDescent="0.25">
      <c r="B1058" s="127"/>
      <c r="D1058" s="234"/>
      <c r="E1058" s="234"/>
      <c r="V1058" s="262"/>
      <c r="W1058" s="254"/>
      <c r="X1058" s="254"/>
      <c r="Y1058" s="154"/>
      <c r="Z1058" s="6"/>
      <c r="AA1058" s="6"/>
      <c r="AB1058" s="6"/>
      <c r="AC1058" s="6"/>
      <c r="AD1058" s="6"/>
      <c r="AE1058" s="75"/>
      <c r="AF1058" s="45"/>
    </row>
    <row r="1059" spans="2:32" customFormat="1" x14ac:dyDescent="0.25">
      <c r="B1059" s="127"/>
      <c r="D1059" s="234"/>
      <c r="E1059" s="234"/>
      <c r="V1059" s="262"/>
      <c r="W1059" s="254"/>
      <c r="X1059" s="254"/>
      <c r="Y1059" s="154"/>
      <c r="Z1059" s="6"/>
      <c r="AA1059" s="6"/>
      <c r="AB1059" s="6"/>
      <c r="AC1059" s="6"/>
      <c r="AD1059" s="6"/>
      <c r="AE1059" s="75"/>
      <c r="AF1059" s="45"/>
    </row>
    <row r="1060" spans="2:32" customFormat="1" x14ac:dyDescent="0.25">
      <c r="B1060" s="127"/>
      <c r="D1060" s="234"/>
      <c r="E1060" s="234"/>
      <c r="V1060" s="262"/>
      <c r="W1060" s="254"/>
      <c r="X1060" s="254"/>
      <c r="Y1060" s="154"/>
      <c r="Z1060" s="6"/>
      <c r="AA1060" s="6"/>
      <c r="AB1060" s="6"/>
      <c r="AC1060" s="6"/>
      <c r="AD1060" s="6"/>
      <c r="AE1060" s="75"/>
      <c r="AF1060" s="45"/>
    </row>
    <row r="1061" spans="2:32" customFormat="1" x14ac:dyDescent="0.25">
      <c r="B1061" s="127"/>
      <c r="D1061" s="234"/>
      <c r="E1061" s="234"/>
      <c r="V1061" s="262"/>
      <c r="W1061" s="254"/>
      <c r="X1061" s="254"/>
      <c r="Y1061" s="154"/>
      <c r="Z1061" s="6"/>
      <c r="AA1061" s="6"/>
      <c r="AB1061" s="6"/>
      <c r="AC1061" s="6"/>
      <c r="AD1061" s="6"/>
      <c r="AE1061" s="75"/>
      <c r="AF1061" s="45"/>
    </row>
    <row r="1062" spans="2:32" customFormat="1" x14ac:dyDescent="0.25">
      <c r="B1062" s="127"/>
      <c r="D1062" s="234"/>
      <c r="E1062" s="234"/>
      <c r="V1062" s="262"/>
      <c r="W1062" s="254"/>
      <c r="X1062" s="254"/>
      <c r="Y1062" s="154"/>
      <c r="Z1062" s="6"/>
      <c r="AA1062" s="6"/>
      <c r="AB1062" s="6"/>
      <c r="AC1062" s="6"/>
      <c r="AD1062" s="6"/>
      <c r="AE1062" s="75"/>
      <c r="AF1062" s="45"/>
    </row>
    <row r="1063" spans="2:32" customFormat="1" x14ac:dyDescent="0.25">
      <c r="B1063" s="127"/>
      <c r="D1063" s="234"/>
      <c r="E1063" s="234"/>
      <c r="V1063" s="262"/>
      <c r="W1063" s="254"/>
      <c r="X1063" s="254"/>
      <c r="Y1063" s="154"/>
      <c r="Z1063" s="6"/>
      <c r="AA1063" s="6"/>
      <c r="AB1063" s="6"/>
      <c r="AC1063" s="6"/>
      <c r="AD1063" s="6"/>
      <c r="AE1063" s="75"/>
      <c r="AF1063" s="45"/>
    </row>
    <row r="1064" spans="2:32" customFormat="1" x14ac:dyDescent="0.25">
      <c r="B1064" s="127"/>
      <c r="D1064" s="234"/>
      <c r="E1064" s="234"/>
      <c r="V1064" s="262"/>
      <c r="W1064" s="254"/>
      <c r="X1064" s="254"/>
      <c r="Y1064" s="154"/>
      <c r="Z1064" s="6"/>
      <c r="AA1064" s="6"/>
      <c r="AB1064" s="6"/>
      <c r="AC1064" s="6"/>
      <c r="AD1064" s="6"/>
      <c r="AE1064" s="75"/>
      <c r="AF1064" s="45"/>
    </row>
    <row r="1065" spans="2:32" customFormat="1" x14ac:dyDescent="0.25">
      <c r="B1065" s="127"/>
      <c r="D1065" s="234"/>
      <c r="E1065" s="234"/>
      <c r="V1065" s="262"/>
      <c r="W1065" s="254"/>
      <c r="X1065" s="254"/>
      <c r="Y1065" s="154"/>
      <c r="Z1065" s="6"/>
      <c r="AA1065" s="6"/>
      <c r="AB1065" s="6"/>
      <c r="AC1065" s="6"/>
      <c r="AD1065" s="6"/>
      <c r="AE1065" s="75"/>
      <c r="AF1065" s="45"/>
    </row>
    <row r="1066" spans="2:32" customFormat="1" x14ac:dyDescent="0.25">
      <c r="B1066" s="127"/>
      <c r="D1066" s="234"/>
      <c r="E1066" s="234"/>
      <c r="V1066" s="262"/>
      <c r="W1066" s="254"/>
      <c r="X1066" s="254"/>
      <c r="Y1066" s="154"/>
      <c r="Z1066" s="6"/>
      <c r="AA1066" s="6"/>
      <c r="AB1066" s="6"/>
      <c r="AC1066" s="6"/>
      <c r="AD1066" s="6"/>
      <c r="AE1066" s="75"/>
      <c r="AF1066" s="45"/>
    </row>
    <row r="1067" spans="2:32" customFormat="1" x14ac:dyDescent="0.25">
      <c r="B1067" s="127"/>
      <c r="D1067" s="234"/>
      <c r="E1067" s="234"/>
      <c r="V1067" s="262"/>
      <c r="W1067" s="254"/>
      <c r="X1067" s="254"/>
      <c r="Y1067" s="154"/>
      <c r="Z1067" s="6"/>
      <c r="AA1067" s="6"/>
      <c r="AB1067" s="6"/>
      <c r="AC1067" s="6"/>
      <c r="AD1067" s="6"/>
      <c r="AE1067" s="75"/>
      <c r="AF1067" s="45"/>
    </row>
    <row r="1068" spans="2:32" customFormat="1" x14ac:dyDescent="0.25">
      <c r="B1068" s="127"/>
      <c r="D1068" s="234"/>
      <c r="E1068" s="234"/>
      <c r="V1068" s="262"/>
      <c r="W1068" s="254"/>
      <c r="X1068" s="254"/>
      <c r="Y1068" s="154"/>
      <c r="Z1068" s="6"/>
      <c r="AA1068" s="6"/>
      <c r="AB1068" s="6"/>
      <c r="AC1068" s="6"/>
      <c r="AD1068" s="6"/>
      <c r="AE1068" s="75"/>
      <c r="AF1068" s="45"/>
    </row>
    <row r="1069" spans="2:32" customFormat="1" x14ac:dyDescent="0.25">
      <c r="B1069" s="127"/>
      <c r="D1069" s="234"/>
      <c r="E1069" s="234"/>
      <c r="V1069" s="262"/>
      <c r="W1069" s="254"/>
      <c r="X1069" s="254"/>
      <c r="Y1069" s="154"/>
      <c r="Z1069" s="6"/>
      <c r="AA1069" s="6"/>
      <c r="AB1069" s="6"/>
      <c r="AC1069" s="6"/>
      <c r="AD1069" s="6"/>
      <c r="AE1069" s="75"/>
      <c r="AF1069" s="45"/>
    </row>
    <row r="1070" spans="2:32" customFormat="1" x14ac:dyDescent="0.25">
      <c r="B1070" s="127"/>
      <c r="D1070" s="234"/>
      <c r="E1070" s="234"/>
      <c r="V1070" s="262"/>
      <c r="W1070" s="254"/>
      <c r="X1070" s="254"/>
      <c r="Y1070" s="154"/>
      <c r="Z1070" s="6"/>
      <c r="AA1070" s="6"/>
      <c r="AB1070" s="6"/>
      <c r="AC1070" s="6"/>
      <c r="AD1070" s="6"/>
      <c r="AE1070" s="75"/>
      <c r="AF1070" s="45"/>
    </row>
    <row r="1071" spans="2:32" customFormat="1" x14ac:dyDescent="0.25">
      <c r="B1071" s="127"/>
      <c r="D1071" s="234"/>
      <c r="E1071" s="234"/>
      <c r="V1071" s="262"/>
      <c r="W1071" s="254"/>
      <c r="X1071" s="254"/>
      <c r="Y1071" s="154"/>
      <c r="Z1071" s="6"/>
      <c r="AA1071" s="6"/>
      <c r="AB1071" s="6"/>
      <c r="AC1071" s="6"/>
      <c r="AD1071" s="6"/>
      <c r="AE1071" s="75"/>
      <c r="AF1071" s="45"/>
    </row>
    <row r="1072" spans="2:32" customFormat="1" x14ac:dyDescent="0.25">
      <c r="B1072" s="127"/>
      <c r="D1072" s="234"/>
      <c r="E1072" s="234"/>
      <c r="V1072" s="262"/>
      <c r="W1072" s="254"/>
      <c r="X1072" s="254"/>
      <c r="Y1072" s="154"/>
      <c r="Z1072" s="6"/>
      <c r="AA1072" s="6"/>
      <c r="AB1072" s="6"/>
      <c r="AC1072" s="6"/>
      <c r="AD1072" s="6"/>
      <c r="AE1072" s="75"/>
      <c r="AF1072" s="45"/>
    </row>
    <row r="1073" spans="2:32" customFormat="1" x14ac:dyDescent="0.25">
      <c r="B1073" s="127"/>
      <c r="D1073" s="234"/>
      <c r="E1073" s="234"/>
      <c r="V1073" s="262"/>
      <c r="W1073" s="254"/>
      <c r="X1073" s="254"/>
      <c r="Y1073" s="154"/>
      <c r="Z1073" s="6"/>
      <c r="AA1073" s="6"/>
      <c r="AB1073" s="6"/>
      <c r="AC1073" s="6"/>
      <c r="AD1073" s="6"/>
      <c r="AE1073" s="75"/>
      <c r="AF1073" s="45"/>
    </row>
    <row r="1074" spans="2:32" customFormat="1" x14ac:dyDescent="0.25">
      <c r="B1074" s="127"/>
      <c r="D1074" s="234"/>
      <c r="E1074" s="234"/>
      <c r="V1074" s="262"/>
      <c r="W1074" s="254"/>
      <c r="X1074" s="254"/>
      <c r="Y1074" s="154"/>
      <c r="Z1074" s="6"/>
      <c r="AA1074" s="6"/>
      <c r="AB1074" s="6"/>
      <c r="AC1074" s="6"/>
      <c r="AD1074" s="6"/>
      <c r="AE1074" s="75"/>
      <c r="AF1074" s="45"/>
    </row>
    <row r="1075" spans="2:32" customFormat="1" x14ac:dyDescent="0.25">
      <c r="B1075" s="127"/>
      <c r="D1075" s="234"/>
      <c r="E1075" s="234"/>
      <c r="V1075" s="262"/>
      <c r="W1075" s="254"/>
      <c r="X1075" s="254"/>
      <c r="Y1075" s="154"/>
      <c r="Z1075" s="6"/>
      <c r="AA1075" s="6"/>
      <c r="AB1075" s="6"/>
      <c r="AC1075" s="6"/>
      <c r="AD1075" s="6"/>
      <c r="AE1075" s="75"/>
      <c r="AF1075" s="45"/>
    </row>
    <row r="1076" spans="2:32" customFormat="1" x14ac:dyDescent="0.25">
      <c r="B1076" s="127"/>
      <c r="D1076" s="234"/>
      <c r="E1076" s="234"/>
      <c r="V1076" s="262"/>
      <c r="W1076" s="254"/>
      <c r="X1076" s="254"/>
      <c r="Y1076" s="154"/>
      <c r="Z1076" s="6"/>
      <c r="AA1076" s="6"/>
      <c r="AB1076" s="6"/>
      <c r="AC1076" s="6"/>
      <c r="AD1076" s="6"/>
      <c r="AE1076" s="75"/>
      <c r="AF1076" s="45"/>
    </row>
    <row r="1077" spans="2:32" customFormat="1" x14ac:dyDescent="0.25">
      <c r="B1077" s="127"/>
      <c r="D1077" s="234"/>
      <c r="E1077" s="234"/>
      <c r="V1077" s="262"/>
      <c r="W1077" s="254"/>
      <c r="X1077" s="254"/>
      <c r="Y1077" s="154"/>
      <c r="Z1077" s="6"/>
      <c r="AA1077" s="6"/>
      <c r="AB1077" s="6"/>
      <c r="AC1077" s="6"/>
      <c r="AD1077" s="6"/>
      <c r="AE1077" s="75"/>
      <c r="AF1077" s="45"/>
    </row>
    <row r="1078" spans="2:32" customFormat="1" x14ac:dyDescent="0.25">
      <c r="B1078" s="127"/>
      <c r="D1078" s="234"/>
      <c r="E1078" s="234"/>
      <c r="V1078" s="262"/>
      <c r="W1078" s="254"/>
      <c r="X1078" s="254"/>
      <c r="Y1078" s="154"/>
      <c r="Z1078" s="6"/>
      <c r="AA1078" s="6"/>
      <c r="AB1078" s="6"/>
      <c r="AC1078" s="6"/>
      <c r="AD1078" s="6"/>
      <c r="AE1078" s="75"/>
      <c r="AF1078" s="45"/>
    </row>
    <row r="1079" spans="2:32" customFormat="1" x14ac:dyDescent="0.25">
      <c r="B1079" s="127"/>
      <c r="D1079" s="234"/>
      <c r="E1079" s="234"/>
      <c r="V1079" s="262"/>
      <c r="W1079" s="254"/>
      <c r="X1079" s="254"/>
      <c r="Y1079" s="154"/>
      <c r="Z1079" s="6"/>
      <c r="AA1079" s="6"/>
      <c r="AB1079" s="6"/>
      <c r="AC1079" s="6"/>
      <c r="AD1079" s="6"/>
      <c r="AE1079" s="75"/>
      <c r="AF1079" s="45"/>
    </row>
    <row r="1080" spans="2:32" customFormat="1" x14ac:dyDescent="0.25">
      <c r="B1080" s="127"/>
      <c r="D1080" s="234"/>
      <c r="E1080" s="234"/>
      <c r="V1080" s="262"/>
      <c r="W1080" s="254"/>
      <c r="X1080" s="254"/>
      <c r="Y1080" s="154"/>
      <c r="Z1080" s="6"/>
      <c r="AA1080" s="6"/>
      <c r="AB1080" s="6"/>
      <c r="AC1080" s="6"/>
      <c r="AD1080" s="6"/>
      <c r="AE1080" s="75"/>
      <c r="AF1080" s="45"/>
    </row>
    <row r="1081" spans="2:32" customFormat="1" x14ac:dyDescent="0.25">
      <c r="B1081" s="127"/>
      <c r="D1081" s="234"/>
      <c r="E1081" s="234"/>
      <c r="V1081" s="262"/>
      <c r="W1081" s="254"/>
      <c r="X1081" s="254"/>
      <c r="Y1081" s="154"/>
      <c r="Z1081" s="6"/>
      <c r="AA1081" s="6"/>
      <c r="AB1081" s="6"/>
      <c r="AC1081" s="6"/>
      <c r="AD1081" s="6"/>
      <c r="AE1081" s="75"/>
      <c r="AF1081" s="45"/>
    </row>
    <row r="1082" spans="2:32" customFormat="1" x14ac:dyDescent="0.25">
      <c r="B1082" s="127"/>
      <c r="D1082" s="234"/>
      <c r="E1082" s="234"/>
      <c r="V1082" s="262"/>
      <c r="W1082" s="254"/>
      <c r="X1082" s="254"/>
      <c r="Y1082" s="154"/>
      <c r="Z1082" s="6"/>
      <c r="AA1082" s="6"/>
      <c r="AB1082" s="6"/>
      <c r="AC1082" s="6"/>
      <c r="AD1082" s="6"/>
      <c r="AE1082" s="75"/>
      <c r="AF1082" s="45"/>
    </row>
    <row r="1083" spans="2:32" customFormat="1" x14ac:dyDescent="0.25">
      <c r="B1083" s="127"/>
      <c r="D1083" s="234"/>
      <c r="E1083" s="234"/>
      <c r="V1083" s="262"/>
      <c r="W1083" s="254"/>
      <c r="X1083" s="254"/>
      <c r="Y1083" s="154"/>
      <c r="Z1083" s="6"/>
      <c r="AA1083" s="6"/>
      <c r="AB1083" s="6"/>
      <c r="AC1083" s="6"/>
      <c r="AD1083" s="6"/>
      <c r="AE1083" s="75"/>
      <c r="AF1083" s="45"/>
    </row>
    <row r="1084" spans="2:32" customFormat="1" x14ac:dyDescent="0.25">
      <c r="B1084" s="127"/>
      <c r="D1084" s="234"/>
      <c r="E1084" s="234"/>
      <c r="V1084" s="262"/>
      <c r="W1084" s="254"/>
      <c r="X1084" s="254"/>
      <c r="Y1084" s="154"/>
      <c r="Z1084" s="6"/>
      <c r="AA1084" s="6"/>
      <c r="AB1084" s="6"/>
      <c r="AC1084" s="6"/>
      <c r="AD1084" s="6"/>
      <c r="AE1084" s="75"/>
      <c r="AF1084" s="45"/>
    </row>
    <row r="1085" spans="2:32" customFormat="1" x14ac:dyDescent="0.25">
      <c r="B1085" s="127"/>
      <c r="D1085" s="234"/>
      <c r="E1085" s="234"/>
      <c r="V1085" s="262"/>
      <c r="W1085" s="254"/>
      <c r="X1085" s="254"/>
      <c r="Y1085" s="154"/>
      <c r="Z1085" s="6"/>
      <c r="AA1085" s="6"/>
      <c r="AB1085" s="6"/>
      <c r="AC1085" s="6"/>
      <c r="AD1085" s="6"/>
      <c r="AE1085" s="75"/>
      <c r="AF1085" s="45"/>
    </row>
    <row r="1086" spans="2:32" customFormat="1" x14ac:dyDescent="0.25">
      <c r="B1086" s="127"/>
      <c r="D1086" s="234"/>
      <c r="E1086" s="234"/>
      <c r="V1086" s="262"/>
      <c r="W1086" s="254"/>
      <c r="X1086" s="254"/>
      <c r="Y1086" s="154"/>
      <c r="Z1086" s="6"/>
      <c r="AA1086" s="6"/>
      <c r="AB1086" s="6"/>
      <c r="AC1086" s="6"/>
      <c r="AD1086" s="6"/>
      <c r="AE1086" s="75"/>
      <c r="AF1086" s="45"/>
    </row>
    <row r="1087" spans="2:32" customFormat="1" x14ac:dyDescent="0.25">
      <c r="B1087" s="127"/>
      <c r="D1087" s="234"/>
      <c r="E1087" s="234"/>
      <c r="V1087" s="262"/>
      <c r="W1087" s="254"/>
      <c r="X1087" s="254"/>
      <c r="Y1087" s="154"/>
      <c r="Z1087" s="6"/>
      <c r="AA1087" s="6"/>
      <c r="AB1087" s="6"/>
      <c r="AC1087" s="6"/>
      <c r="AD1087" s="6"/>
      <c r="AE1087" s="75"/>
      <c r="AF1087" s="45"/>
    </row>
    <row r="1088" spans="2:32" customFormat="1" x14ac:dyDescent="0.25">
      <c r="B1088" s="127"/>
      <c r="D1088" s="234"/>
      <c r="E1088" s="234"/>
      <c r="V1088" s="262"/>
      <c r="W1088" s="254"/>
      <c r="X1088" s="254"/>
      <c r="Y1088" s="154"/>
      <c r="Z1088" s="6"/>
      <c r="AA1088" s="6"/>
      <c r="AB1088" s="6"/>
      <c r="AC1088" s="6"/>
      <c r="AD1088" s="6"/>
      <c r="AE1088" s="75"/>
      <c r="AF1088" s="45"/>
    </row>
    <row r="1089" spans="2:32" customFormat="1" x14ac:dyDescent="0.25">
      <c r="B1089" s="127"/>
      <c r="D1089" s="234"/>
      <c r="E1089" s="234"/>
      <c r="V1089" s="262"/>
      <c r="W1089" s="254"/>
      <c r="X1089" s="254"/>
      <c r="Y1089" s="154"/>
      <c r="Z1089" s="6"/>
      <c r="AA1089" s="6"/>
      <c r="AB1089" s="6"/>
      <c r="AC1089" s="6"/>
      <c r="AD1089" s="6"/>
      <c r="AE1089" s="75"/>
      <c r="AF1089" s="45"/>
    </row>
    <row r="1090" spans="2:32" customFormat="1" x14ac:dyDescent="0.25">
      <c r="B1090" s="127"/>
      <c r="D1090" s="234"/>
      <c r="E1090" s="234"/>
      <c r="V1090" s="262"/>
      <c r="W1090" s="254"/>
      <c r="X1090" s="254"/>
      <c r="Y1090" s="154"/>
      <c r="Z1090" s="6"/>
      <c r="AA1090" s="6"/>
      <c r="AB1090" s="6"/>
      <c r="AC1090" s="6"/>
      <c r="AD1090" s="6"/>
      <c r="AE1090" s="75"/>
      <c r="AF1090" s="45"/>
    </row>
    <row r="1091" spans="2:32" customFormat="1" x14ac:dyDescent="0.25">
      <c r="B1091" s="127"/>
      <c r="D1091" s="234"/>
      <c r="E1091" s="234"/>
      <c r="V1091" s="262"/>
      <c r="W1091" s="254"/>
      <c r="X1091" s="254"/>
      <c r="Y1091" s="154"/>
      <c r="Z1091" s="6"/>
      <c r="AA1091" s="6"/>
      <c r="AB1091" s="6"/>
      <c r="AC1091" s="6"/>
      <c r="AD1091" s="6"/>
      <c r="AE1091" s="75"/>
      <c r="AF1091" s="45"/>
    </row>
    <row r="1092" spans="2:32" customFormat="1" x14ac:dyDescent="0.25">
      <c r="B1092" s="127"/>
      <c r="D1092" s="234"/>
      <c r="E1092" s="234"/>
      <c r="V1092" s="262"/>
      <c r="W1092" s="254"/>
      <c r="X1092" s="254"/>
      <c r="Y1092" s="154"/>
      <c r="Z1092" s="6"/>
      <c r="AA1092" s="6"/>
      <c r="AB1092" s="6"/>
      <c r="AC1092" s="6"/>
      <c r="AD1092" s="6"/>
      <c r="AE1092" s="75"/>
      <c r="AF1092" s="45"/>
    </row>
    <row r="1093" spans="2:32" customFormat="1" x14ac:dyDescent="0.25">
      <c r="B1093" s="127"/>
      <c r="D1093" s="234"/>
      <c r="E1093" s="234"/>
      <c r="V1093" s="262"/>
      <c r="W1093" s="254"/>
      <c r="X1093" s="254"/>
      <c r="Y1093" s="154"/>
      <c r="Z1093" s="6"/>
      <c r="AA1093" s="6"/>
      <c r="AB1093" s="6"/>
      <c r="AC1093" s="6"/>
      <c r="AD1093" s="6"/>
      <c r="AE1093" s="75"/>
      <c r="AF1093" s="45"/>
    </row>
    <row r="1094" spans="2:32" customFormat="1" x14ac:dyDescent="0.25">
      <c r="B1094" s="127"/>
      <c r="D1094" s="234"/>
      <c r="E1094" s="234"/>
      <c r="V1094" s="262"/>
      <c r="W1094" s="254"/>
      <c r="X1094" s="254"/>
      <c r="Y1094" s="154"/>
      <c r="Z1094" s="6"/>
      <c r="AA1094" s="6"/>
      <c r="AB1094" s="6"/>
      <c r="AC1094" s="6"/>
      <c r="AD1094" s="6"/>
      <c r="AE1094" s="75"/>
      <c r="AF1094" s="45"/>
    </row>
    <row r="1095" spans="2:32" customFormat="1" x14ac:dyDescent="0.25">
      <c r="B1095" s="127"/>
      <c r="D1095" s="234"/>
      <c r="E1095" s="234"/>
      <c r="V1095" s="262"/>
      <c r="W1095" s="254"/>
      <c r="X1095" s="254"/>
      <c r="Y1095" s="154"/>
      <c r="Z1095" s="6"/>
      <c r="AA1095" s="6"/>
      <c r="AB1095" s="6"/>
      <c r="AC1095" s="6"/>
      <c r="AD1095" s="6"/>
      <c r="AE1095" s="75"/>
      <c r="AF1095" s="45"/>
    </row>
    <row r="1096" spans="2:32" customFormat="1" x14ac:dyDescent="0.25">
      <c r="B1096" s="127"/>
      <c r="D1096" s="234"/>
      <c r="E1096" s="234"/>
      <c r="V1096" s="262"/>
      <c r="W1096" s="254"/>
      <c r="X1096" s="254"/>
      <c r="Y1096" s="154"/>
      <c r="Z1096" s="6"/>
      <c r="AA1096" s="6"/>
      <c r="AB1096" s="6"/>
      <c r="AC1096" s="6"/>
      <c r="AD1096" s="6"/>
      <c r="AE1096" s="75"/>
      <c r="AF1096" s="45"/>
    </row>
    <row r="1097" spans="2:32" customFormat="1" x14ac:dyDescent="0.25">
      <c r="B1097" s="127"/>
      <c r="D1097" s="234"/>
      <c r="E1097" s="234"/>
      <c r="V1097" s="262"/>
      <c r="W1097" s="254"/>
      <c r="X1097" s="254"/>
      <c r="Y1097" s="154"/>
      <c r="Z1097" s="6"/>
      <c r="AA1097" s="6"/>
      <c r="AB1097" s="6"/>
      <c r="AC1097" s="6"/>
      <c r="AD1097" s="6"/>
      <c r="AE1097" s="75"/>
      <c r="AF1097" s="45"/>
    </row>
    <row r="1098" spans="2:32" customFormat="1" x14ac:dyDescent="0.25">
      <c r="B1098" s="127"/>
      <c r="D1098" s="234"/>
      <c r="E1098" s="234"/>
      <c r="V1098" s="262"/>
      <c r="W1098" s="254"/>
      <c r="X1098" s="254"/>
      <c r="Y1098" s="154"/>
      <c r="Z1098" s="6"/>
      <c r="AA1098" s="6"/>
      <c r="AB1098" s="6"/>
      <c r="AC1098" s="6"/>
      <c r="AD1098" s="6"/>
      <c r="AE1098" s="75"/>
      <c r="AF1098" s="45"/>
    </row>
    <row r="1099" spans="2:32" customFormat="1" x14ac:dyDescent="0.25">
      <c r="B1099" s="127"/>
      <c r="D1099" s="234"/>
      <c r="E1099" s="234"/>
      <c r="V1099" s="262"/>
      <c r="W1099" s="254"/>
      <c r="X1099" s="254"/>
      <c r="Y1099" s="154"/>
      <c r="Z1099" s="6"/>
      <c r="AA1099" s="6"/>
      <c r="AB1099" s="6"/>
      <c r="AC1099" s="6"/>
      <c r="AD1099" s="6"/>
      <c r="AE1099" s="75"/>
      <c r="AF1099" s="45"/>
    </row>
    <row r="1100" spans="2:32" customFormat="1" x14ac:dyDescent="0.25">
      <c r="B1100" s="127"/>
      <c r="D1100" s="234"/>
      <c r="E1100" s="234"/>
      <c r="V1100" s="262"/>
      <c r="W1100" s="254"/>
      <c r="X1100" s="254"/>
      <c r="Y1100" s="154"/>
      <c r="Z1100" s="6"/>
      <c r="AA1100" s="6"/>
      <c r="AB1100" s="6"/>
      <c r="AC1100" s="6"/>
      <c r="AD1100" s="6"/>
      <c r="AE1100" s="75"/>
      <c r="AF1100" s="45"/>
    </row>
    <row r="1101" spans="2:32" customFormat="1" x14ac:dyDescent="0.25">
      <c r="B1101" s="127"/>
      <c r="D1101" s="234"/>
      <c r="E1101" s="234"/>
      <c r="V1101" s="262"/>
      <c r="W1101" s="254"/>
      <c r="X1101" s="254"/>
      <c r="Y1101" s="154"/>
      <c r="Z1101" s="6"/>
      <c r="AA1101" s="6"/>
      <c r="AB1101" s="6"/>
      <c r="AC1101" s="6"/>
      <c r="AD1101" s="6"/>
      <c r="AE1101" s="75"/>
      <c r="AF1101" s="45"/>
    </row>
    <row r="1102" spans="2:32" customFormat="1" x14ac:dyDescent="0.25">
      <c r="B1102" s="127"/>
      <c r="D1102" s="234"/>
      <c r="E1102" s="234"/>
      <c r="V1102" s="262"/>
      <c r="W1102" s="254"/>
      <c r="X1102" s="254"/>
      <c r="Y1102" s="154"/>
      <c r="Z1102" s="6"/>
      <c r="AA1102" s="6"/>
      <c r="AB1102" s="6"/>
      <c r="AC1102" s="6"/>
      <c r="AD1102" s="6"/>
      <c r="AE1102" s="75"/>
      <c r="AF1102" s="45"/>
    </row>
    <row r="1103" spans="2:32" customFormat="1" x14ac:dyDescent="0.25">
      <c r="B1103" s="127"/>
      <c r="D1103" s="234"/>
      <c r="E1103" s="234"/>
      <c r="V1103" s="262"/>
      <c r="W1103" s="254"/>
      <c r="X1103" s="254"/>
      <c r="Y1103" s="154"/>
      <c r="Z1103" s="6"/>
      <c r="AA1103" s="6"/>
      <c r="AB1103" s="6"/>
      <c r="AC1103" s="6"/>
      <c r="AD1103" s="6"/>
      <c r="AE1103" s="75"/>
      <c r="AF1103" s="45"/>
    </row>
    <row r="1104" spans="2:32" customFormat="1" x14ac:dyDescent="0.25">
      <c r="B1104" s="127"/>
      <c r="D1104" s="234"/>
      <c r="E1104" s="234"/>
      <c r="V1104" s="262"/>
      <c r="W1104" s="254"/>
      <c r="X1104" s="254"/>
      <c r="Y1104" s="154"/>
      <c r="Z1104" s="6"/>
      <c r="AA1104" s="6"/>
      <c r="AB1104" s="6"/>
      <c r="AC1104" s="6"/>
      <c r="AD1104" s="6"/>
      <c r="AE1104" s="75"/>
      <c r="AF1104" s="45"/>
    </row>
    <row r="1105" spans="2:32" customFormat="1" x14ac:dyDescent="0.25">
      <c r="B1105" s="127"/>
      <c r="D1105" s="234"/>
      <c r="E1105" s="234"/>
      <c r="V1105" s="262"/>
      <c r="W1105" s="254"/>
      <c r="X1105" s="254"/>
      <c r="Y1105" s="154"/>
      <c r="Z1105" s="6"/>
      <c r="AA1105" s="6"/>
      <c r="AB1105" s="6"/>
      <c r="AC1105" s="6"/>
      <c r="AD1105" s="6"/>
      <c r="AE1105" s="75"/>
      <c r="AF1105" s="45"/>
    </row>
    <row r="1106" spans="2:32" customFormat="1" x14ac:dyDescent="0.25">
      <c r="B1106" s="127"/>
      <c r="D1106" s="234"/>
      <c r="E1106" s="234"/>
      <c r="V1106" s="262"/>
      <c r="W1106" s="254"/>
      <c r="X1106" s="254"/>
      <c r="Y1106" s="154"/>
      <c r="Z1106" s="6"/>
      <c r="AA1106" s="6"/>
      <c r="AB1106" s="6"/>
      <c r="AC1106" s="6"/>
      <c r="AD1106" s="6"/>
      <c r="AE1106" s="75"/>
      <c r="AF1106" s="45"/>
    </row>
    <row r="1107" spans="2:32" customFormat="1" x14ac:dyDescent="0.25">
      <c r="B1107" s="127"/>
      <c r="D1107" s="234"/>
      <c r="E1107" s="234"/>
      <c r="V1107" s="262"/>
      <c r="W1107" s="254"/>
      <c r="X1107" s="254"/>
      <c r="Y1107" s="154"/>
      <c r="Z1107" s="6"/>
      <c r="AA1107" s="6"/>
      <c r="AB1107" s="6"/>
      <c r="AC1107" s="6"/>
      <c r="AD1107" s="6"/>
      <c r="AE1107" s="75"/>
      <c r="AF1107" s="45"/>
    </row>
    <row r="1108" spans="2:32" customFormat="1" x14ac:dyDescent="0.25">
      <c r="B1108" s="127"/>
      <c r="D1108" s="234"/>
      <c r="E1108" s="234"/>
      <c r="V1108" s="262"/>
      <c r="W1108" s="254"/>
      <c r="X1108" s="254"/>
      <c r="Y1108" s="154"/>
      <c r="Z1108" s="6"/>
      <c r="AA1108" s="6"/>
      <c r="AB1108" s="6"/>
      <c r="AC1108" s="6"/>
      <c r="AD1108" s="6"/>
      <c r="AE1108" s="75"/>
      <c r="AF1108" s="45"/>
    </row>
    <row r="1109" spans="2:32" customFormat="1" x14ac:dyDescent="0.25">
      <c r="B1109" s="127"/>
      <c r="D1109" s="234"/>
      <c r="E1109" s="234"/>
      <c r="V1109" s="262"/>
      <c r="W1109" s="254"/>
      <c r="X1109" s="254"/>
      <c r="Y1109" s="154"/>
      <c r="Z1109" s="6"/>
      <c r="AA1109" s="6"/>
      <c r="AB1109" s="6"/>
      <c r="AC1109" s="6"/>
      <c r="AD1109" s="6"/>
      <c r="AE1109" s="75"/>
      <c r="AF1109" s="45"/>
    </row>
    <row r="1110" spans="2:32" customFormat="1" x14ac:dyDescent="0.25">
      <c r="B1110" s="127"/>
      <c r="D1110" s="234"/>
      <c r="E1110" s="234"/>
      <c r="V1110" s="262"/>
      <c r="W1110" s="254"/>
      <c r="X1110" s="254"/>
      <c r="Y1110" s="154"/>
      <c r="Z1110" s="6"/>
      <c r="AA1110" s="6"/>
      <c r="AB1110" s="6"/>
      <c r="AC1110" s="6"/>
      <c r="AD1110" s="6"/>
      <c r="AE1110" s="75"/>
      <c r="AF1110" s="45"/>
    </row>
    <row r="1111" spans="2:32" customFormat="1" x14ac:dyDescent="0.25">
      <c r="B1111" s="127"/>
      <c r="D1111" s="234"/>
      <c r="E1111" s="234"/>
      <c r="V1111" s="262"/>
      <c r="W1111" s="254"/>
      <c r="X1111" s="254"/>
      <c r="Y1111" s="154"/>
      <c r="Z1111" s="6"/>
      <c r="AA1111" s="6"/>
      <c r="AB1111" s="6"/>
      <c r="AC1111" s="6"/>
      <c r="AD1111" s="6"/>
      <c r="AE1111" s="75"/>
      <c r="AF1111" s="45"/>
    </row>
    <row r="1112" spans="2:32" customFormat="1" x14ac:dyDescent="0.25">
      <c r="B1112" s="127"/>
      <c r="D1112" s="234"/>
      <c r="E1112" s="234"/>
      <c r="V1112" s="262"/>
      <c r="W1112" s="254"/>
      <c r="X1112" s="254"/>
      <c r="Y1112" s="154"/>
      <c r="Z1112" s="6"/>
      <c r="AA1112" s="6"/>
      <c r="AB1112" s="6"/>
      <c r="AC1112" s="6"/>
      <c r="AD1112" s="6"/>
      <c r="AE1112" s="75"/>
      <c r="AF1112" s="45"/>
    </row>
    <row r="1113" spans="2:32" customFormat="1" x14ac:dyDescent="0.25">
      <c r="B1113" s="127"/>
      <c r="D1113" s="234"/>
      <c r="E1113" s="234"/>
      <c r="V1113" s="262"/>
      <c r="W1113" s="254"/>
      <c r="X1113" s="254"/>
      <c r="Y1113" s="154"/>
      <c r="Z1113" s="6"/>
      <c r="AA1113" s="6"/>
      <c r="AB1113" s="6"/>
      <c r="AC1113" s="6"/>
      <c r="AD1113" s="6"/>
      <c r="AE1113" s="75"/>
      <c r="AF1113" s="45"/>
    </row>
    <row r="1114" spans="2:32" customFormat="1" x14ac:dyDescent="0.25">
      <c r="B1114" s="127"/>
      <c r="D1114" s="234"/>
      <c r="E1114" s="234"/>
      <c r="V1114" s="262"/>
      <c r="W1114" s="254"/>
      <c r="X1114" s="254"/>
      <c r="Y1114" s="154"/>
      <c r="Z1114" s="6"/>
      <c r="AA1114" s="6"/>
      <c r="AB1114" s="6"/>
      <c r="AC1114" s="6"/>
      <c r="AD1114" s="6"/>
      <c r="AE1114" s="75"/>
      <c r="AF1114" s="45"/>
    </row>
    <row r="1115" spans="2:32" customFormat="1" x14ac:dyDescent="0.25">
      <c r="B1115" s="127"/>
      <c r="D1115" s="234"/>
      <c r="E1115" s="234"/>
      <c r="V1115" s="262"/>
      <c r="W1115" s="254"/>
      <c r="X1115" s="254"/>
      <c r="Y1115" s="154"/>
      <c r="Z1115" s="6"/>
      <c r="AA1115" s="6"/>
      <c r="AB1115" s="6"/>
      <c r="AC1115" s="6"/>
      <c r="AD1115" s="6"/>
      <c r="AE1115" s="75"/>
      <c r="AF1115" s="45"/>
    </row>
    <row r="1116" spans="2:32" customFormat="1" x14ac:dyDescent="0.25">
      <c r="B1116" s="127"/>
      <c r="D1116" s="234"/>
      <c r="E1116" s="234"/>
      <c r="V1116" s="262"/>
      <c r="W1116" s="254"/>
      <c r="X1116" s="254"/>
      <c r="Y1116" s="154"/>
      <c r="Z1116" s="6"/>
      <c r="AA1116" s="6"/>
      <c r="AB1116" s="6"/>
      <c r="AC1116" s="6"/>
      <c r="AD1116" s="6"/>
      <c r="AE1116" s="75"/>
      <c r="AF1116" s="45"/>
    </row>
    <row r="1117" spans="2:32" customFormat="1" x14ac:dyDescent="0.25">
      <c r="B1117" s="127"/>
      <c r="D1117" s="234"/>
      <c r="E1117" s="234"/>
      <c r="V1117" s="262"/>
      <c r="W1117" s="254"/>
      <c r="X1117" s="254"/>
      <c r="Y1117" s="154"/>
      <c r="Z1117" s="6"/>
      <c r="AA1117" s="6"/>
      <c r="AB1117" s="6"/>
      <c r="AC1117" s="6"/>
      <c r="AD1117" s="6"/>
      <c r="AE1117" s="75"/>
      <c r="AF1117" s="45"/>
    </row>
    <row r="1118" spans="2:32" customFormat="1" x14ac:dyDescent="0.25">
      <c r="B1118" s="127"/>
      <c r="D1118" s="234"/>
      <c r="E1118" s="234"/>
      <c r="V1118" s="262"/>
      <c r="W1118" s="254"/>
      <c r="X1118" s="254"/>
      <c r="Y1118" s="154"/>
      <c r="Z1118" s="6"/>
      <c r="AA1118" s="6"/>
      <c r="AB1118" s="6"/>
      <c r="AC1118" s="6"/>
      <c r="AD1118" s="6"/>
      <c r="AE1118" s="75"/>
      <c r="AF1118" s="45"/>
    </row>
    <row r="1119" spans="2:32" customFormat="1" x14ac:dyDescent="0.25">
      <c r="B1119" s="127"/>
      <c r="D1119" s="234"/>
      <c r="E1119" s="234"/>
      <c r="V1119" s="262"/>
      <c r="W1119" s="254"/>
      <c r="X1119" s="254"/>
      <c r="Y1119" s="154"/>
      <c r="Z1119" s="6"/>
      <c r="AA1119" s="6"/>
      <c r="AB1119" s="6"/>
      <c r="AC1119" s="6"/>
      <c r="AD1119" s="6"/>
      <c r="AE1119" s="75"/>
      <c r="AF1119" s="45"/>
    </row>
    <row r="1120" spans="2:32" customFormat="1" x14ac:dyDescent="0.25">
      <c r="B1120" s="127"/>
      <c r="D1120" s="234"/>
      <c r="E1120" s="234"/>
      <c r="V1120" s="262"/>
      <c r="W1120" s="254"/>
      <c r="X1120" s="254"/>
      <c r="Y1120" s="154"/>
      <c r="Z1120" s="6"/>
      <c r="AA1120" s="6"/>
      <c r="AB1120" s="6"/>
      <c r="AC1120" s="6"/>
      <c r="AD1120" s="6"/>
      <c r="AE1120" s="75"/>
      <c r="AF1120" s="45"/>
    </row>
    <row r="1121" spans="2:32" customFormat="1" x14ac:dyDescent="0.25">
      <c r="B1121" s="127"/>
      <c r="D1121" s="234"/>
      <c r="E1121" s="234"/>
      <c r="V1121" s="262"/>
      <c r="W1121" s="254"/>
      <c r="X1121" s="254"/>
      <c r="Y1121" s="154"/>
      <c r="Z1121" s="6"/>
      <c r="AA1121" s="6"/>
      <c r="AB1121" s="6"/>
      <c r="AC1121" s="6"/>
      <c r="AD1121" s="6"/>
      <c r="AE1121" s="75"/>
      <c r="AF1121" s="45"/>
    </row>
    <row r="1122" spans="2:32" customFormat="1" x14ac:dyDescent="0.25">
      <c r="B1122" s="127"/>
      <c r="D1122" s="234"/>
      <c r="E1122" s="234"/>
      <c r="V1122" s="262"/>
      <c r="W1122" s="254"/>
      <c r="X1122" s="254"/>
      <c r="Y1122" s="154"/>
      <c r="Z1122" s="6"/>
      <c r="AA1122" s="6"/>
      <c r="AB1122" s="6"/>
      <c r="AC1122" s="6"/>
      <c r="AD1122" s="6"/>
      <c r="AE1122" s="75"/>
      <c r="AF1122" s="45"/>
    </row>
    <row r="1123" spans="2:32" customFormat="1" x14ac:dyDescent="0.25">
      <c r="B1123" s="127"/>
      <c r="D1123" s="234"/>
      <c r="E1123" s="234"/>
      <c r="V1123" s="262"/>
      <c r="W1123" s="254"/>
      <c r="X1123" s="254"/>
      <c r="Y1123" s="154"/>
      <c r="Z1123" s="6"/>
      <c r="AA1123" s="6"/>
      <c r="AB1123" s="6"/>
      <c r="AC1123" s="6"/>
      <c r="AD1123" s="6"/>
      <c r="AE1123" s="75"/>
      <c r="AF1123" s="45"/>
    </row>
    <row r="1124" spans="2:32" customFormat="1" x14ac:dyDescent="0.25">
      <c r="B1124" s="127"/>
      <c r="D1124" s="234"/>
      <c r="E1124" s="234"/>
      <c r="V1124" s="262"/>
      <c r="W1124" s="254"/>
      <c r="X1124" s="254"/>
      <c r="Y1124" s="154"/>
      <c r="Z1124" s="6"/>
      <c r="AA1124" s="6"/>
      <c r="AB1124" s="6"/>
      <c r="AC1124" s="6"/>
      <c r="AD1124" s="6"/>
      <c r="AE1124" s="75"/>
      <c r="AF1124" s="45"/>
    </row>
    <row r="1125" spans="2:32" customFormat="1" x14ac:dyDescent="0.25">
      <c r="B1125" s="127"/>
      <c r="D1125" s="234"/>
      <c r="E1125" s="234"/>
      <c r="V1125" s="262"/>
      <c r="W1125" s="254"/>
      <c r="X1125" s="254"/>
      <c r="Y1125" s="154"/>
      <c r="Z1125" s="6"/>
      <c r="AA1125" s="6"/>
      <c r="AB1125" s="6"/>
      <c r="AC1125" s="6"/>
      <c r="AD1125" s="6"/>
      <c r="AE1125" s="75"/>
      <c r="AF1125" s="45"/>
    </row>
    <row r="1126" spans="2:32" customFormat="1" x14ac:dyDescent="0.25">
      <c r="B1126" s="127"/>
      <c r="D1126" s="234"/>
      <c r="E1126" s="234"/>
      <c r="V1126" s="262"/>
      <c r="W1126" s="254"/>
      <c r="X1126" s="254"/>
      <c r="Y1126" s="154"/>
      <c r="Z1126" s="6"/>
      <c r="AA1126" s="6"/>
      <c r="AB1126" s="6"/>
      <c r="AC1126" s="6"/>
      <c r="AD1126" s="6"/>
      <c r="AE1126" s="75"/>
      <c r="AF1126" s="45"/>
    </row>
    <row r="1127" spans="2:32" customFormat="1" x14ac:dyDescent="0.25">
      <c r="B1127" s="127"/>
      <c r="D1127" s="234"/>
      <c r="E1127" s="234"/>
      <c r="V1127" s="262"/>
      <c r="W1127" s="254"/>
      <c r="X1127" s="254"/>
      <c r="Y1127" s="154"/>
      <c r="Z1127" s="6"/>
      <c r="AA1127" s="6"/>
      <c r="AB1127" s="6"/>
      <c r="AC1127" s="6"/>
      <c r="AD1127" s="6"/>
      <c r="AE1127" s="75"/>
      <c r="AF1127" s="45"/>
    </row>
    <row r="1128" spans="2:32" customFormat="1" x14ac:dyDescent="0.25">
      <c r="B1128" s="127"/>
      <c r="D1128" s="234"/>
      <c r="E1128" s="234"/>
      <c r="V1128" s="262"/>
      <c r="W1128" s="254"/>
      <c r="X1128" s="254"/>
      <c r="Y1128" s="154"/>
      <c r="Z1128" s="6"/>
      <c r="AA1128" s="6"/>
      <c r="AB1128" s="6"/>
      <c r="AC1128" s="6"/>
      <c r="AD1128" s="6"/>
      <c r="AE1128" s="75"/>
      <c r="AF1128" s="45"/>
    </row>
    <row r="1129" spans="2:32" customFormat="1" x14ac:dyDescent="0.25">
      <c r="B1129" s="127"/>
      <c r="D1129" s="234"/>
      <c r="E1129" s="234"/>
      <c r="V1129" s="262"/>
      <c r="W1129" s="254"/>
      <c r="X1129" s="254"/>
      <c r="Y1129" s="154"/>
      <c r="Z1129" s="6"/>
      <c r="AA1129" s="6"/>
      <c r="AB1129" s="6"/>
      <c r="AC1129" s="6"/>
      <c r="AD1129" s="6"/>
      <c r="AE1129" s="75"/>
      <c r="AF1129" s="45"/>
    </row>
    <row r="1130" spans="2:32" customFormat="1" x14ac:dyDescent="0.25">
      <c r="B1130" s="127"/>
      <c r="D1130" s="234"/>
      <c r="E1130" s="234"/>
      <c r="V1130" s="262"/>
      <c r="W1130" s="254"/>
      <c r="X1130" s="254"/>
      <c r="Y1130" s="154"/>
      <c r="Z1130" s="6"/>
      <c r="AA1130" s="6"/>
      <c r="AB1130" s="6"/>
      <c r="AC1130" s="6"/>
      <c r="AD1130" s="6"/>
      <c r="AE1130" s="75"/>
      <c r="AF1130" s="45"/>
    </row>
    <row r="1131" spans="2:32" customFormat="1" x14ac:dyDescent="0.25">
      <c r="B1131" s="127"/>
      <c r="D1131" s="234"/>
      <c r="E1131" s="234"/>
      <c r="V1131" s="262"/>
      <c r="W1131" s="254"/>
      <c r="X1131" s="254"/>
      <c r="Y1131" s="154"/>
      <c r="Z1131" s="6"/>
      <c r="AA1131" s="6"/>
      <c r="AB1131" s="6"/>
      <c r="AC1131" s="6"/>
      <c r="AD1131" s="6"/>
      <c r="AE1131" s="75"/>
      <c r="AF1131" s="45"/>
    </row>
    <row r="1132" spans="2:32" customFormat="1" x14ac:dyDescent="0.25">
      <c r="B1132" s="127"/>
      <c r="D1132" s="234"/>
      <c r="E1132" s="234"/>
      <c r="V1132" s="262"/>
      <c r="W1132" s="254"/>
      <c r="X1132" s="254"/>
      <c r="Y1132" s="154"/>
      <c r="Z1132" s="6"/>
      <c r="AA1132" s="6"/>
      <c r="AB1132" s="6"/>
      <c r="AC1132" s="6"/>
      <c r="AD1132" s="6"/>
      <c r="AE1132" s="75"/>
      <c r="AF1132" s="45"/>
    </row>
    <row r="1133" spans="2:32" customFormat="1" x14ac:dyDescent="0.25">
      <c r="B1133" s="127"/>
      <c r="D1133" s="234"/>
      <c r="E1133" s="234"/>
      <c r="V1133" s="262"/>
      <c r="W1133" s="254"/>
      <c r="X1133" s="254"/>
      <c r="Y1133" s="154"/>
      <c r="Z1133" s="6"/>
      <c r="AA1133" s="6"/>
      <c r="AB1133" s="6"/>
      <c r="AC1133" s="6"/>
      <c r="AD1133" s="6"/>
      <c r="AE1133" s="75"/>
      <c r="AF1133" s="45"/>
    </row>
    <row r="1134" spans="2:32" customFormat="1" x14ac:dyDescent="0.25">
      <c r="B1134" s="127"/>
      <c r="D1134" s="234"/>
      <c r="E1134" s="234"/>
      <c r="V1134" s="262"/>
      <c r="W1134" s="254"/>
      <c r="X1134" s="254"/>
      <c r="Y1134" s="154"/>
      <c r="Z1134" s="6"/>
      <c r="AA1134" s="6"/>
      <c r="AB1134" s="6"/>
      <c r="AC1134" s="6"/>
      <c r="AD1134" s="6"/>
      <c r="AE1134" s="75"/>
      <c r="AF1134" s="45"/>
    </row>
    <row r="1135" spans="2:32" customFormat="1" x14ac:dyDescent="0.25">
      <c r="B1135" s="127"/>
      <c r="D1135" s="234"/>
      <c r="E1135" s="234"/>
      <c r="V1135" s="262"/>
      <c r="W1135" s="254"/>
      <c r="X1135" s="254"/>
      <c r="Y1135" s="154"/>
      <c r="Z1135" s="6"/>
      <c r="AA1135" s="6"/>
      <c r="AB1135" s="6"/>
      <c r="AC1135" s="6"/>
      <c r="AD1135" s="6"/>
      <c r="AE1135" s="75"/>
      <c r="AF1135" s="45"/>
    </row>
    <row r="1136" spans="2:32" customFormat="1" x14ac:dyDescent="0.25">
      <c r="B1136" s="127"/>
      <c r="D1136" s="234"/>
      <c r="E1136" s="234"/>
      <c r="V1136" s="262"/>
      <c r="W1136" s="254"/>
      <c r="X1136" s="254"/>
      <c r="Y1136" s="154"/>
      <c r="Z1136" s="6"/>
      <c r="AA1136" s="6"/>
      <c r="AB1136" s="6"/>
      <c r="AC1136" s="6"/>
      <c r="AD1136" s="6"/>
      <c r="AE1136" s="75"/>
      <c r="AF1136" s="45"/>
    </row>
    <row r="1137" spans="2:32" customFormat="1" x14ac:dyDescent="0.25">
      <c r="B1137" s="127"/>
      <c r="D1137" s="234"/>
      <c r="E1137" s="234"/>
      <c r="V1137" s="262"/>
      <c r="W1137" s="254"/>
      <c r="X1137" s="254"/>
      <c r="Y1137" s="154"/>
      <c r="Z1137" s="6"/>
      <c r="AA1137" s="6"/>
      <c r="AB1137" s="6"/>
      <c r="AC1137" s="6"/>
      <c r="AD1137" s="6"/>
      <c r="AE1137" s="75"/>
      <c r="AF1137" s="45"/>
    </row>
    <row r="1138" spans="2:32" customFormat="1" x14ac:dyDescent="0.25">
      <c r="B1138" s="127"/>
      <c r="D1138" s="234"/>
      <c r="E1138" s="234"/>
      <c r="V1138" s="262"/>
      <c r="W1138" s="254"/>
      <c r="X1138" s="254"/>
      <c r="Y1138" s="154"/>
      <c r="Z1138" s="6"/>
      <c r="AA1138" s="6"/>
      <c r="AB1138" s="6"/>
      <c r="AC1138" s="6"/>
      <c r="AD1138" s="6"/>
      <c r="AE1138" s="75"/>
      <c r="AF1138" s="45"/>
    </row>
    <row r="1139" spans="2:32" customFormat="1" x14ac:dyDescent="0.25">
      <c r="B1139" s="127"/>
      <c r="D1139" s="234"/>
      <c r="E1139" s="234"/>
      <c r="V1139" s="262"/>
      <c r="W1139" s="254"/>
      <c r="X1139" s="254"/>
      <c r="Y1139" s="154"/>
      <c r="Z1139" s="6"/>
      <c r="AA1139" s="6"/>
      <c r="AB1139" s="6"/>
      <c r="AC1139" s="6"/>
      <c r="AD1139" s="6"/>
      <c r="AE1139" s="75"/>
      <c r="AF1139" s="45"/>
    </row>
    <row r="1140" spans="2:32" customFormat="1" x14ac:dyDescent="0.25">
      <c r="B1140" s="127"/>
      <c r="D1140" s="234"/>
      <c r="E1140" s="234"/>
      <c r="V1140" s="262"/>
      <c r="W1140" s="254"/>
      <c r="X1140" s="254"/>
      <c r="Y1140" s="154"/>
      <c r="Z1140" s="6"/>
      <c r="AA1140" s="6"/>
      <c r="AB1140" s="6"/>
      <c r="AC1140" s="6"/>
      <c r="AD1140" s="6"/>
      <c r="AE1140" s="75"/>
      <c r="AF1140" s="45"/>
    </row>
    <row r="1141" spans="2:32" customFormat="1" x14ac:dyDescent="0.25">
      <c r="B1141" s="127"/>
      <c r="D1141" s="234"/>
      <c r="E1141" s="234"/>
      <c r="V1141" s="262"/>
      <c r="W1141" s="254"/>
      <c r="X1141" s="254"/>
      <c r="Y1141" s="154"/>
      <c r="Z1141" s="6"/>
      <c r="AA1141" s="6"/>
      <c r="AB1141" s="6"/>
      <c r="AC1141" s="6"/>
      <c r="AD1141" s="6"/>
      <c r="AE1141" s="75"/>
      <c r="AF1141" s="45"/>
    </row>
    <row r="1142" spans="2:32" customFormat="1" x14ac:dyDescent="0.25">
      <c r="B1142" s="127"/>
      <c r="D1142" s="234"/>
      <c r="E1142" s="234"/>
      <c r="V1142" s="262"/>
      <c r="W1142" s="254"/>
      <c r="X1142" s="254"/>
      <c r="Y1142" s="154"/>
      <c r="Z1142" s="6"/>
      <c r="AA1142" s="6"/>
      <c r="AB1142" s="6"/>
      <c r="AC1142" s="6"/>
      <c r="AD1142" s="6"/>
      <c r="AE1142" s="75"/>
      <c r="AF1142" s="45"/>
    </row>
    <row r="1143" spans="2:32" customFormat="1" x14ac:dyDescent="0.25">
      <c r="B1143" s="127"/>
      <c r="D1143" s="234"/>
      <c r="E1143" s="234"/>
      <c r="V1143" s="262"/>
      <c r="W1143" s="254"/>
      <c r="X1143" s="254"/>
      <c r="Y1143" s="154"/>
      <c r="Z1143" s="6"/>
      <c r="AA1143" s="6"/>
      <c r="AB1143" s="6"/>
      <c r="AC1143" s="6"/>
      <c r="AD1143" s="6"/>
      <c r="AE1143" s="75"/>
      <c r="AF1143" s="45"/>
    </row>
    <row r="1144" spans="2:32" customFormat="1" x14ac:dyDescent="0.25">
      <c r="B1144" s="127"/>
      <c r="D1144" s="234"/>
      <c r="E1144" s="234"/>
      <c r="V1144" s="262"/>
      <c r="W1144" s="254"/>
      <c r="X1144" s="254"/>
      <c r="Y1144" s="154"/>
      <c r="Z1144" s="6"/>
      <c r="AA1144" s="6"/>
      <c r="AB1144" s="6"/>
      <c r="AC1144" s="6"/>
      <c r="AD1144" s="6"/>
      <c r="AE1144" s="75"/>
      <c r="AF1144" s="45"/>
    </row>
    <row r="1145" spans="2:32" customFormat="1" x14ac:dyDescent="0.25">
      <c r="B1145" s="127"/>
      <c r="D1145" s="234"/>
      <c r="E1145" s="234"/>
      <c r="V1145" s="262"/>
      <c r="W1145" s="254"/>
      <c r="X1145" s="254"/>
      <c r="Y1145" s="154"/>
      <c r="Z1145" s="6"/>
      <c r="AA1145" s="6"/>
      <c r="AB1145" s="6"/>
      <c r="AC1145" s="6"/>
      <c r="AD1145" s="6"/>
      <c r="AE1145" s="75"/>
      <c r="AF1145" s="45"/>
    </row>
    <row r="1146" spans="2:32" customFormat="1" x14ac:dyDescent="0.25">
      <c r="B1146" s="127"/>
      <c r="D1146" s="234"/>
      <c r="E1146" s="234"/>
      <c r="V1146" s="262"/>
      <c r="W1146" s="254"/>
      <c r="X1146" s="254"/>
      <c r="Y1146" s="154"/>
      <c r="Z1146" s="6"/>
      <c r="AA1146" s="6"/>
      <c r="AB1146" s="6"/>
      <c r="AC1146" s="6"/>
      <c r="AD1146" s="6"/>
      <c r="AE1146" s="75"/>
      <c r="AF1146" s="45"/>
    </row>
    <row r="1147" spans="2:32" customFormat="1" x14ac:dyDescent="0.25">
      <c r="B1147" s="127"/>
      <c r="D1147" s="234"/>
      <c r="E1147" s="234"/>
      <c r="V1147" s="262"/>
      <c r="W1147" s="254"/>
      <c r="X1147" s="254"/>
      <c r="Y1147" s="154"/>
      <c r="Z1147" s="6"/>
      <c r="AA1147" s="6"/>
      <c r="AB1147" s="6"/>
      <c r="AC1147" s="6"/>
      <c r="AD1147" s="6"/>
      <c r="AE1147" s="75"/>
      <c r="AF1147" s="45"/>
    </row>
    <row r="1148" spans="2:32" customFormat="1" x14ac:dyDescent="0.25">
      <c r="B1148" s="127"/>
      <c r="D1148" s="234"/>
      <c r="E1148" s="234"/>
      <c r="V1148" s="262"/>
      <c r="W1148" s="254"/>
      <c r="X1148" s="254"/>
      <c r="Y1148" s="154"/>
      <c r="Z1148" s="6"/>
      <c r="AA1148" s="6"/>
      <c r="AB1148" s="6"/>
      <c r="AC1148" s="6"/>
      <c r="AD1148" s="6"/>
      <c r="AE1148" s="75"/>
      <c r="AF1148" s="45"/>
    </row>
    <row r="1149" spans="2:32" customFormat="1" x14ac:dyDescent="0.25">
      <c r="B1149" s="127"/>
      <c r="D1149" s="234"/>
      <c r="E1149" s="234"/>
      <c r="V1149" s="262"/>
      <c r="W1149" s="254"/>
      <c r="X1149" s="254"/>
      <c r="Y1149" s="154"/>
      <c r="Z1149" s="6"/>
      <c r="AA1149" s="6"/>
      <c r="AB1149" s="6"/>
      <c r="AC1149" s="6"/>
      <c r="AD1149" s="6"/>
      <c r="AE1149" s="75"/>
      <c r="AF1149" s="45"/>
    </row>
    <row r="1150" spans="2:32" customFormat="1" x14ac:dyDescent="0.25">
      <c r="B1150" s="127"/>
      <c r="D1150" s="234"/>
      <c r="E1150" s="234"/>
      <c r="V1150" s="262"/>
      <c r="W1150" s="254"/>
      <c r="X1150" s="254"/>
      <c r="Y1150" s="154"/>
      <c r="Z1150" s="6"/>
      <c r="AA1150" s="6"/>
      <c r="AB1150" s="6"/>
      <c r="AC1150" s="6"/>
      <c r="AD1150" s="6"/>
      <c r="AE1150" s="75"/>
      <c r="AF1150" s="45"/>
    </row>
    <row r="1151" spans="2:32" customFormat="1" x14ac:dyDescent="0.25">
      <c r="B1151" s="127"/>
      <c r="D1151" s="234"/>
      <c r="E1151" s="234"/>
      <c r="V1151" s="262"/>
      <c r="W1151" s="254"/>
      <c r="X1151" s="254"/>
      <c r="Y1151" s="154"/>
      <c r="Z1151" s="6"/>
      <c r="AA1151" s="6"/>
      <c r="AB1151" s="6"/>
      <c r="AC1151" s="6"/>
      <c r="AD1151" s="6"/>
      <c r="AE1151" s="75"/>
      <c r="AF1151" s="45"/>
    </row>
    <row r="1152" spans="2:32" customFormat="1" x14ac:dyDescent="0.25">
      <c r="B1152" s="127"/>
      <c r="D1152" s="234"/>
      <c r="E1152" s="234"/>
      <c r="V1152" s="262"/>
      <c r="W1152" s="254"/>
      <c r="X1152" s="254"/>
      <c r="Y1152" s="154"/>
      <c r="Z1152" s="6"/>
      <c r="AA1152" s="6"/>
      <c r="AB1152" s="6"/>
      <c r="AC1152" s="6"/>
      <c r="AD1152" s="6"/>
      <c r="AE1152" s="75"/>
      <c r="AF1152" s="45"/>
    </row>
    <row r="1153" spans="2:32" customFormat="1" x14ac:dyDescent="0.25">
      <c r="B1153" s="127"/>
      <c r="D1153" s="234"/>
      <c r="E1153" s="234"/>
      <c r="V1153" s="262"/>
      <c r="W1153" s="254"/>
      <c r="X1153" s="254"/>
      <c r="Y1153" s="154"/>
      <c r="Z1153" s="6"/>
      <c r="AA1153" s="6"/>
      <c r="AB1153" s="6"/>
      <c r="AC1153" s="6"/>
      <c r="AD1153" s="6"/>
      <c r="AE1153" s="75"/>
      <c r="AF1153" s="45"/>
    </row>
    <row r="1154" spans="2:32" customFormat="1" x14ac:dyDescent="0.25">
      <c r="B1154" s="127"/>
      <c r="D1154" s="234"/>
      <c r="E1154" s="234"/>
      <c r="V1154" s="262"/>
      <c r="W1154" s="254"/>
      <c r="X1154" s="254"/>
      <c r="Y1154" s="154"/>
      <c r="Z1154" s="6"/>
      <c r="AA1154" s="6"/>
      <c r="AB1154" s="6"/>
      <c r="AC1154" s="6"/>
      <c r="AD1154" s="6"/>
      <c r="AE1154" s="75"/>
      <c r="AF1154" s="45"/>
    </row>
    <row r="1155" spans="2:32" customFormat="1" x14ac:dyDescent="0.25">
      <c r="B1155" s="127"/>
      <c r="D1155" s="234"/>
      <c r="E1155" s="234"/>
      <c r="V1155" s="262"/>
      <c r="W1155" s="254"/>
      <c r="X1155" s="254"/>
      <c r="Y1155" s="154"/>
      <c r="Z1155" s="6"/>
      <c r="AA1155" s="6"/>
      <c r="AB1155" s="6"/>
      <c r="AC1155" s="6"/>
      <c r="AD1155" s="6"/>
      <c r="AE1155" s="75"/>
      <c r="AF1155" s="45"/>
    </row>
    <row r="1156" spans="2:32" customFormat="1" x14ac:dyDescent="0.25">
      <c r="B1156" s="127"/>
      <c r="D1156" s="234"/>
      <c r="E1156" s="234"/>
      <c r="V1156" s="262"/>
      <c r="W1156" s="254"/>
      <c r="X1156" s="254"/>
      <c r="Y1156" s="154"/>
      <c r="Z1156" s="6"/>
      <c r="AA1156" s="6"/>
      <c r="AB1156" s="6"/>
      <c r="AC1156" s="6"/>
      <c r="AD1156" s="6"/>
      <c r="AE1156" s="75"/>
      <c r="AF1156" s="45"/>
    </row>
    <row r="1157" spans="2:32" customFormat="1" x14ac:dyDescent="0.25">
      <c r="B1157" s="127"/>
      <c r="D1157" s="234"/>
      <c r="E1157" s="234"/>
      <c r="V1157" s="262"/>
      <c r="W1157" s="254"/>
      <c r="X1157" s="254"/>
      <c r="Y1157" s="154"/>
      <c r="Z1157" s="6"/>
      <c r="AA1157" s="6"/>
      <c r="AB1157" s="6"/>
      <c r="AC1157" s="6"/>
      <c r="AD1157" s="6"/>
      <c r="AE1157" s="75"/>
      <c r="AF1157" s="45"/>
    </row>
    <row r="1158" spans="2:32" customFormat="1" x14ac:dyDescent="0.25">
      <c r="B1158" s="127"/>
      <c r="D1158" s="234"/>
      <c r="E1158" s="234"/>
      <c r="V1158" s="262"/>
      <c r="W1158" s="254"/>
      <c r="X1158" s="254"/>
      <c r="Y1158" s="154"/>
      <c r="Z1158" s="6"/>
      <c r="AA1158" s="6"/>
      <c r="AB1158" s="6"/>
      <c r="AC1158" s="6"/>
      <c r="AD1158" s="6"/>
      <c r="AE1158" s="75"/>
      <c r="AF1158" s="45"/>
    </row>
    <row r="1159" spans="2:32" customFormat="1" x14ac:dyDescent="0.25">
      <c r="B1159" s="127"/>
      <c r="D1159" s="234"/>
      <c r="E1159" s="234"/>
      <c r="V1159" s="262"/>
      <c r="W1159" s="254"/>
      <c r="X1159" s="254"/>
      <c r="Y1159" s="154"/>
      <c r="Z1159" s="6"/>
      <c r="AA1159" s="6"/>
      <c r="AB1159" s="6"/>
      <c r="AC1159" s="6"/>
      <c r="AD1159" s="6"/>
      <c r="AE1159" s="75"/>
      <c r="AF1159" s="45"/>
    </row>
    <row r="1160" spans="2:32" customFormat="1" x14ac:dyDescent="0.25">
      <c r="B1160" s="127"/>
      <c r="D1160" s="234"/>
      <c r="E1160" s="234"/>
      <c r="V1160" s="262"/>
      <c r="W1160" s="254"/>
      <c r="X1160" s="254"/>
      <c r="Y1160" s="154"/>
      <c r="Z1160" s="6"/>
      <c r="AA1160" s="6"/>
      <c r="AB1160" s="6"/>
      <c r="AC1160" s="6"/>
      <c r="AD1160" s="6"/>
      <c r="AE1160" s="75"/>
      <c r="AF1160" s="45"/>
    </row>
    <row r="1161" spans="2:32" customFormat="1" x14ac:dyDescent="0.25">
      <c r="B1161" s="127"/>
      <c r="D1161" s="234"/>
      <c r="E1161" s="234"/>
      <c r="V1161" s="262"/>
      <c r="W1161" s="254"/>
      <c r="X1161" s="254"/>
      <c r="Y1161" s="154"/>
      <c r="Z1161" s="6"/>
      <c r="AA1161" s="6"/>
      <c r="AB1161" s="6"/>
      <c r="AC1161" s="6"/>
      <c r="AD1161" s="6"/>
      <c r="AE1161" s="75"/>
      <c r="AF1161" s="45"/>
    </row>
    <row r="1162" spans="2:32" customFormat="1" x14ac:dyDescent="0.25">
      <c r="B1162" s="127"/>
      <c r="D1162" s="234"/>
      <c r="E1162" s="234"/>
      <c r="V1162" s="262"/>
      <c r="W1162" s="254"/>
      <c r="X1162" s="254"/>
      <c r="Y1162" s="154"/>
      <c r="Z1162" s="6"/>
      <c r="AA1162" s="6"/>
      <c r="AB1162" s="6"/>
      <c r="AC1162" s="6"/>
      <c r="AD1162" s="6"/>
      <c r="AE1162" s="75"/>
      <c r="AF1162" s="45"/>
    </row>
    <row r="1163" spans="2:32" customFormat="1" x14ac:dyDescent="0.25">
      <c r="B1163" s="127"/>
      <c r="D1163" s="234"/>
      <c r="E1163" s="234"/>
      <c r="V1163" s="262"/>
      <c r="W1163" s="254"/>
      <c r="X1163" s="254"/>
      <c r="Y1163" s="154"/>
      <c r="Z1163" s="6"/>
      <c r="AA1163" s="6"/>
      <c r="AB1163" s="6"/>
      <c r="AC1163" s="6"/>
      <c r="AD1163" s="6"/>
      <c r="AE1163" s="75"/>
      <c r="AF1163" s="45"/>
    </row>
    <row r="1164" spans="2:32" customFormat="1" x14ac:dyDescent="0.25">
      <c r="B1164" s="127"/>
      <c r="D1164" s="234"/>
      <c r="E1164" s="234"/>
      <c r="V1164" s="262"/>
      <c r="W1164" s="254"/>
      <c r="X1164" s="254"/>
      <c r="Y1164" s="154"/>
      <c r="Z1164" s="6"/>
      <c r="AA1164" s="6"/>
      <c r="AB1164" s="6"/>
      <c r="AC1164" s="6"/>
      <c r="AD1164" s="6"/>
      <c r="AE1164" s="75"/>
      <c r="AF1164" s="45"/>
    </row>
    <row r="1165" spans="2:32" customFormat="1" x14ac:dyDescent="0.25">
      <c r="B1165" s="127"/>
      <c r="D1165" s="234"/>
      <c r="E1165" s="234"/>
      <c r="V1165" s="262"/>
      <c r="W1165" s="254"/>
      <c r="X1165" s="254"/>
      <c r="Y1165" s="154"/>
      <c r="Z1165" s="6"/>
      <c r="AA1165" s="6"/>
      <c r="AB1165" s="6"/>
      <c r="AC1165" s="6"/>
      <c r="AD1165" s="6"/>
      <c r="AE1165" s="75"/>
      <c r="AF1165" s="45"/>
    </row>
    <row r="1166" spans="2:32" customFormat="1" x14ac:dyDescent="0.25">
      <c r="B1166" s="127"/>
      <c r="D1166" s="234"/>
      <c r="E1166" s="234"/>
      <c r="V1166" s="262"/>
      <c r="W1166" s="254"/>
      <c r="X1166" s="254"/>
      <c r="Y1166" s="154"/>
      <c r="Z1166" s="6"/>
      <c r="AA1166" s="6"/>
      <c r="AB1166" s="6"/>
      <c r="AC1166" s="6"/>
      <c r="AD1166" s="6"/>
      <c r="AE1166" s="75"/>
      <c r="AF1166" s="45"/>
    </row>
    <row r="1167" spans="2:32" customFormat="1" x14ac:dyDescent="0.25">
      <c r="B1167" s="127"/>
      <c r="D1167" s="234"/>
      <c r="E1167" s="234"/>
      <c r="V1167" s="262"/>
      <c r="W1167" s="254"/>
      <c r="X1167" s="254"/>
      <c r="Y1167" s="154"/>
      <c r="Z1167" s="6"/>
      <c r="AA1167" s="6"/>
      <c r="AB1167" s="6"/>
      <c r="AC1167" s="6"/>
      <c r="AD1167" s="6"/>
      <c r="AE1167" s="75"/>
      <c r="AF1167" s="45"/>
    </row>
    <row r="1168" spans="2:32" customFormat="1" x14ac:dyDescent="0.25">
      <c r="B1168" s="127"/>
      <c r="D1168" s="234"/>
      <c r="E1168" s="234"/>
      <c r="V1168" s="262"/>
      <c r="W1168" s="254"/>
      <c r="X1168" s="254"/>
      <c r="Y1168" s="154"/>
      <c r="Z1168" s="6"/>
      <c r="AA1168" s="6"/>
      <c r="AB1168" s="6"/>
      <c r="AC1168" s="6"/>
      <c r="AD1168" s="6"/>
      <c r="AE1168" s="75"/>
      <c r="AF1168" s="45"/>
    </row>
    <row r="1169" spans="2:32" customFormat="1" x14ac:dyDescent="0.25">
      <c r="B1169" s="127"/>
      <c r="D1169" s="234"/>
      <c r="E1169" s="234"/>
      <c r="V1169" s="262"/>
      <c r="W1169" s="254"/>
      <c r="X1169" s="254"/>
      <c r="Y1169" s="154"/>
      <c r="Z1169" s="6"/>
      <c r="AA1169" s="6"/>
      <c r="AB1169" s="6"/>
      <c r="AC1169" s="6"/>
      <c r="AD1169" s="6"/>
      <c r="AE1169" s="75"/>
      <c r="AF1169" s="45"/>
    </row>
    <row r="1170" spans="2:32" customFormat="1" x14ac:dyDescent="0.25">
      <c r="B1170" s="127"/>
      <c r="D1170" s="234"/>
      <c r="E1170" s="234"/>
      <c r="V1170" s="262"/>
      <c r="W1170" s="254"/>
      <c r="X1170" s="254"/>
      <c r="Y1170" s="154"/>
      <c r="Z1170" s="6"/>
      <c r="AA1170" s="6"/>
      <c r="AB1170" s="6"/>
      <c r="AC1170" s="6"/>
      <c r="AD1170" s="6"/>
      <c r="AE1170" s="75"/>
      <c r="AF1170" s="45"/>
    </row>
    <row r="1171" spans="2:32" customFormat="1" x14ac:dyDescent="0.25">
      <c r="B1171" s="127"/>
      <c r="D1171" s="234"/>
      <c r="E1171" s="234"/>
      <c r="V1171" s="262"/>
      <c r="W1171" s="254"/>
      <c r="X1171" s="254"/>
      <c r="Y1171" s="154"/>
      <c r="Z1171" s="6"/>
      <c r="AA1171" s="6"/>
      <c r="AB1171" s="6"/>
      <c r="AC1171" s="6"/>
      <c r="AD1171" s="6"/>
      <c r="AE1171" s="75"/>
      <c r="AF1171" s="45"/>
    </row>
    <row r="1172" spans="2:32" customFormat="1" x14ac:dyDescent="0.25">
      <c r="B1172" s="127"/>
      <c r="D1172" s="234"/>
      <c r="E1172" s="234"/>
      <c r="V1172" s="262"/>
      <c r="W1172" s="254"/>
      <c r="X1172" s="254"/>
      <c r="Y1172" s="154"/>
      <c r="Z1172" s="6"/>
      <c r="AA1172" s="6"/>
      <c r="AB1172" s="6"/>
      <c r="AC1172" s="6"/>
      <c r="AD1172" s="6"/>
      <c r="AE1172" s="75"/>
      <c r="AF1172" s="45"/>
    </row>
    <row r="1173" spans="2:32" customFormat="1" x14ac:dyDescent="0.25">
      <c r="B1173" s="127"/>
      <c r="D1173" s="234"/>
      <c r="E1173" s="234"/>
      <c r="V1173" s="262"/>
      <c r="W1173" s="254"/>
      <c r="X1173" s="254"/>
      <c r="Y1173" s="154"/>
      <c r="Z1173" s="6"/>
      <c r="AA1173" s="6"/>
      <c r="AB1173" s="6"/>
      <c r="AC1173" s="6"/>
      <c r="AD1173" s="6"/>
      <c r="AE1173" s="75"/>
      <c r="AF1173" s="45"/>
    </row>
    <row r="1174" spans="2:32" customFormat="1" x14ac:dyDescent="0.25">
      <c r="B1174" s="127"/>
      <c r="D1174" s="234"/>
      <c r="E1174" s="234"/>
      <c r="V1174" s="262"/>
      <c r="W1174" s="254"/>
      <c r="X1174" s="254"/>
      <c r="Y1174" s="154"/>
      <c r="Z1174" s="6"/>
      <c r="AA1174" s="6"/>
      <c r="AB1174" s="6"/>
      <c r="AC1174" s="6"/>
      <c r="AD1174" s="6"/>
      <c r="AE1174" s="75"/>
      <c r="AF1174" s="45"/>
    </row>
    <row r="1175" spans="2:32" customFormat="1" x14ac:dyDescent="0.25">
      <c r="B1175" s="127"/>
      <c r="D1175" s="234"/>
      <c r="E1175" s="234"/>
      <c r="V1175" s="262"/>
      <c r="W1175" s="254"/>
      <c r="X1175" s="254"/>
      <c r="Y1175" s="154"/>
      <c r="Z1175" s="6"/>
      <c r="AA1175" s="6"/>
      <c r="AB1175" s="6"/>
      <c r="AC1175" s="6"/>
      <c r="AD1175" s="6"/>
      <c r="AE1175" s="75"/>
      <c r="AF1175" s="45"/>
    </row>
    <row r="1176" spans="2:32" customFormat="1" x14ac:dyDescent="0.25">
      <c r="B1176" s="127"/>
      <c r="D1176" s="234"/>
      <c r="E1176" s="234"/>
      <c r="V1176" s="262"/>
      <c r="W1176" s="254"/>
      <c r="X1176" s="254"/>
      <c r="Y1176" s="154"/>
      <c r="Z1176" s="6"/>
      <c r="AA1176" s="6"/>
      <c r="AB1176" s="6"/>
      <c r="AC1176" s="6"/>
      <c r="AD1176" s="6"/>
      <c r="AE1176" s="75"/>
      <c r="AF1176" s="45"/>
    </row>
    <row r="1177" spans="2:32" customFormat="1" x14ac:dyDescent="0.25">
      <c r="B1177" s="127"/>
      <c r="D1177" s="234"/>
      <c r="E1177" s="234"/>
      <c r="V1177" s="262"/>
      <c r="W1177" s="254"/>
      <c r="X1177" s="254"/>
      <c r="Y1177" s="154"/>
      <c r="Z1177" s="6"/>
      <c r="AA1177" s="6"/>
      <c r="AB1177" s="6"/>
      <c r="AC1177" s="6"/>
      <c r="AD1177" s="6"/>
      <c r="AE1177" s="75"/>
      <c r="AF1177" s="45"/>
    </row>
    <row r="1178" spans="2:32" customFormat="1" x14ac:dyDescent="0.25">
      <c r="B1178" s="127"/>
      <c r="D1178" s="234"/>
      <c r="E1178" s="234"/>
      <c r="V1178" s="262"/>
      <c r="W1178" s="254"/>
      <c r="X1178" s="254"/>
      <c r="Y1178" s="154"/>
      <c r="Z1178" s="6"/>
      <c r="AA1178" s="6"/>
      <c r="AB1178" s="6"/>
      <c r="AC1178" s="6"/>
      <c r="AD1178" s="6"/>
      <c r="AE1178" s="75"/>
      <c r="AF1178" s="45"/>
    </row>
    <row r="1179" spans="2:32" customFormat="1" x14ac:dyDescent="0.25">
      <c r="B1179" s="127"/>
      <c r="D1179" s="234"/>
      <c r="E1179" s="234"/>
      <c r="V1179" s="262"/>
      <c r="W1179" s="254"/>
      <c r="X1179" s="254"/>
      <c r="Y1179" s="154"/>
      <c r="Z1179" s="6"/>
      <c r="AA1179" s="6"/>
      <c r="AB1179" s="6"/>
      <c r="AC1179" s="6"/>
      <c r="AD1179" s="6"/>
      <c r="AE1179" s="75"/>
      <c r="AF1179" s="45"/>
    </row>
    <row r="1180" spans="2:32" customFormat="1" x14ac:dyDescent="0.25">
      <c r="B1180" s="127"/>
      <c r="D1180" s="234"/>
      <c r="E1180" s="234"/>
      <c r="V1180" s="262"/>
      <c r="W1180" s="254"/>
      <c r="X1180" s="254"/>
      <c r="Y1180" s="154"/>
      <c r="Z1180" s="6"/>
      <c r="AA1180" s="6"/>
      <c r="AB1180" s="6"/>
      <c r="AC1180" s="6"/>
      <c r="AD1180" s="6"/>
      <c r="AE1180" s="75"/>
      <c r="AF1180" s="45"/>
    </row>
    <row r="1181" spans="2:32" customFormat="1" x14ac:dyDescent="0.25">
      <c r="B1181" s="127"/>
      <c r="D1181" s="234"/>
      <c r="E1181" s="234"/>
      <c r="V1181" s="262"/>
      <c r="W1181" s="254"/>
      <c r="X1181" s="254"/>
      <c r="Y1181" s="154"/>
      <c r="Z1181" s="6"/>
      <c r="AA1181" s="6"/>
      <c r="AB1181" s="6"/>
      <c r="AC1181" s="6"/>
      <c r="AD1181" s="6"/>
      <c r="AE1181" s="75"/>
      <c r="AF1181" s="45"/>
    </row>
    <row r="1182" spans="2:32" customFormat="1" x14ac:dyDescent="0.25">
      <c r="B1182" s="127"/>
      <c r="D1182" s="234"/>
      <c r="E1182" s="234"/>
      <c r="V1182" s="262"/>
      <c r="W1182" s="254"/>
      <c r="X1182" s="254"/>
      <c r="Y1182" s="154"/>
      <c r="Z1182" s="6"/>
      <c r="AA1182" s="6"/>
      <c r="AB1182" s="6"/>
      <c r="AC1182" s="6"/>
      <c r="AD1182" s="6"/>
      <c r="AE1182" s="75"/>
      <c r="AF1182" s="45"/>
    </row>
    <row r="1183" spans="2:32" customFormat="1" x14ac:dyDescent="0.25">
      <c r="B1183" s="127"/>
      <c r="D1183" s="234"/>
      <c r="E1183" s="234"/>
      <c r="V1183" s="262"/>
      <c r="W1183" s="254"/>
      <c r="X1183" s="254"/>
      <c r="Y1183" s="154"/>
      <c r="Z1183" s="6"/>
      <c r="AA1183" s="6"/>
      <c r="AB1183" s="6"/>
      <c r="AC1183" s="6"/>
      <c r="AD1183" s="6"/>
      <c r="AE1183" s="75"/>
      <c r="AF1183" s="45"/>
    </row>
    <row r="1184" spans="2:32" customFormat="1" x14ac:dyDescent="0.25">
      <c r="B1184" s="127"/>
      <c r="D1184" s="234"/>
      <c r="E1184" s="234"/>
      <c r="V1184" s="262"/>
      <c r="W1184" s="254"/>
      <c r="X1184" s="254"/>
      <c r="Y1184" s="154"/>
      <c r="Z1184" s="6"/>
      <c r="AA1184" s="6"/>
      <c r="AB1184" s="6"/>
      <c r="AC1184" s="6"/>
      <c r="AD1184" s="6"/>
      <c r="AE1184" s="75"/>
      <c r="AF1184" s="45"/>
    </row>
    <row r="1185" spans="2:32" customFormat="1" x14ac:dyDescent="0.25">
      <c r="B1185" s="127"/>
      <c r="D1185" s="234"/>
      <c r="E1185" s="234"/>
      <c r="V1185" s="262"/>
      <c r="W1185" s="254"/>
      <c r="X1185" s="254"/>
      <c r="Y1185" s="154"/>
      <c r="Z1185" s="6"/>
      <c r="AA1185" s="6"/>
      <c r="AB1185" s="6"/>
      <c r="AC1185" s="6"/>
      <c r="AD1185" s="6"/>
      <c r="AE1185" s="75"/>
      <c r="AF1185" s="45"/>
    </row>
    <row r="1186" spans="2:32" customFormat="1" x14ac:dyDescent="0.25">
      <c r="B1186" s="127"/>
      <c r="D1186" s="234"/>
      <c r="E1186" s="234"/>
      <c r="V1186" s="262"/>
      <c r="W1186" s="254"/>
      <c r="X1186" s="254"/>
      <c r="Y1186" s="154"/>
      <c r="Z1186" s="6"/>
      <c r="AA1186" s="6"/>
      <c r="AB1186" s="6"/>
      <c r="AC1186" s="6"/>
      <c r="AD1186" s="6"/>
      <c r="AE1186" s="75"/>
      <c r="AF1186" s="45"/>
    </row>
    <row r="1187" spans="2:32" customFormat="1" x14ac:dyDescent="0.25">
      <c r="B1187" s="127"/>
      <c r="D1187" s="234"/>
      <c r="E1187" s="234"/>
      <c r="V1187" s="262"/>
      <c r="W1187" s="254"/>
      <c r="X1187" s="254"/>
      <c r="Y1187" s="154"/>
      <c r="Z1187" s="6"/>
      <c r="AA1187" s="6"/>
      <c r="AB1187" s="6"/>
      <c r="AC1187" s="6"/>
      <c r="AD1187" s="6"/>
      <c r="AE1187" s="75"/>
      <c r="AF1187" s="45"/>
    </row>
    <row r="1188" spans="2:32" customFormat="1" x14ac:dyDescent="0.25">
      <c r="B1188" s="127"/>
      <c r="D1188" s="234"/>
      <c r="E1188" s="234"/>
      <c r="V1188" s="262"/>
      <c r="W1188" s="254"/>
      <c r="X1188" s="254"/>
      <c r="Y1188" s="154"/>
      <c r="Z1188" s="6"/>
      <c r="AA1188" s="6"/>
      <c r="AB1188" s="6"/>
      <c r="AC1188" s="6"/>
      <c r="AD1188" s="6"/>
      <c r="AE1188" s="75"/>
      <c r="AF1188" s="45"/>
    </row>
    <row r="1189" spans="2:32" customFormat="1" x14ac:dyDescent="0.25">
      <c r="B1189" s="127"/>
      <c r="D1189" s="234"/>
      <c r="E1189" s="234"/>
      <c r="V1189" s="262"/>
      <c r="W1189" s="254"/>
      <c r="X1189" s="254"/>
      <c r="Y1189" s="154"/>
      <c r="Z1189" s="6"/>
      <c r="AA1189" s="6"/>
      <c r="AB1189" s="6"/>
      <c r="AC1189" s="6"/>
      <c r="AD1189" s="6"/>
      <c r="AE1189" s="75"/>
      <c r="AF1189" s="45"/>
    </row>
    <row r="1190" spans="2:32" customFormat="1" x14ac:dyDescent="0.25">
      <c r="B1190" s="127"/>
      <c r="D1190" s="234"/>
      <c r="E1190" s="234"/>
      <c r="V1190" s="262"/>
      <c r="W1190" s="254"/>
      <c r="X1190" s="254"/>
      <c r="Y1190" s="154"/>
      <c r="Z1190" s="6"/>
      <c r="AA1190" s="6"/>
      <c r="AB1190" s="6"/>
      <c r="AC1190" s="6"/>
      <c r="AD1190" s="6"/>
      <c r="AE1190" s="75"/>
      <c r="AF1190" s="45"/>
    </row>
    <row r="1191" spans="2:32" customFormat="1" x14ac:dyDescent="0.25">
      <c r="B1191" s="127"/>
      <c r="D1191" s="234"/>
      <c r="E1191" s="234"/>
      <c r="V1191" s="262"/>
      <c r="W1191" s="254"/>
      <c r="X1191" s="254"/>
      <c r="Y1191" s="154"/>
      <c r="Z1191" s="6"/>
      <c r="AA1191" s="6"/>
      <c r="AB1191" s="6"/>
      <c r="AC1191" s="6"/>
      <c r="AD1191" s="6"/>
      <c r="AE1191" s="75"/>
      <c r="AF1191" s="45"/>
    </row>
    <row r="1192" spans="2:32" customFormat="1" x14ac:dyDescent="0.25">
      <c r="B1192" s="127"/>
      <c r="D1192" s="234"/>
      <c r="E1192" s="234"/>
      <c r="V1192" s="262"/>
      <c r="W1192" s="254"/>
      <c r="X1192" s="254"/>
      <c r="Y1192" s="154"/>
      <c r="Z1192" s="6"/>
      <c r="AA1192" s="6"/>
      <c r="AB1192" s="6"/>
      <c r="AC1192" s="6"/>
      <c r="AD1192" s="6"/>
      <c r="AE1192" s="75"/>
      <c r="AF1192" s="45"/>
    </row>
    <row r="1193" spans="2:32" customFormat="1" x14ac:dyDescent="0.25">
      <c r="B1193" s="127"/>
      <c r="D1193" s="234"/>
      <c r="E1193" s="234"/>
      <c r="V1193" s="262"/>
      <c r="W1193" s="254"/>
      <c r="X1193" s="254"/>
      <c r="Y1193" s="154"/>
      <c r="Z1193" s="6"/>
      <c r="AA1193" s="6"/>
      <c r="AB1193" s="6"/>
      <c r="AC1193" s="6"/>
      <c r="AD1193" s="6"/>
      <c r="AE1193" s="75"/>
      <c r="AF1193" s="45"/>
    </row>
    <row r="1194" spans="2:32" customFormat="1" x14ac:dyDescent="0.25">
      <c r="B1194" s="127"/>
      <c r="D1194" s="234"/>
      <c r="E1194" s="234"/>
      <c r="V1194" s="262"/>
      <c r="W1194" s="254"/>
      <c r="X1194" s="254"/>
      <c r="Y1194" s="154"/>
      <c r="Z1194" s="6"/>
      <c r="AA1194" s="6"/>
      <c r="AB1194" s="6"/>
      <c r="AC1194" s="6"/>
      <c r="AD1194" s="6"/>
      <c r="AE1194" s="75"/>
      <c r="AF1194" s="45"/>
    </row>
    <row r="1195" spans="2:32" customFormat="1" x14ac:dyDescent="0.25">
      <c r="B1195" s="127"/>
      <c r="D1195" s="234"/>
      <c r="E1195" s="234"/>
      <c r="V1195" s="262"/>
      <c r="W1195" s="254"/>
      <c r="X1195" s="254"/>
      <c r="Y1195" s="154"/>
      <c r="Z1195" s="6"/>
      <c r="AA1195" s="6"/>
      <c r="AB1195" s="6"/>
      <c r="AC1195" s="6"/>
      <c r="AD1195" s="6"/>
      <c r="AE1195" s="75"/>
      <c r="AF1195" s="45"/>
    </row>
    <row r="1196" spans="2:32" customFormat="1" x14ac:dyDescent="0.25">
      <c r="B1196" s="127"/>
      <c r="D1196" s="234"/>
      <c r="E1196" s="234"/>
      <c r="V1196" s="262"/>
      <c r="W1196" s="254"/>
      <c r="X1196" s="254"/>
      <c r="Y1196" s="154"/>
      <c r="Z1196" s="6"/>
      <c r="AA1196" s="6"/>
      <c r="AB1196" s="6"/>
      <c r="AC1196" s="6"/>
      <c r="AD1196" s="6"/>
      <c r="AE1196" s="75"/>
      <c r="AF1196" s="45"/>
    </row>
    <row r="1197" spans="2:32" customFormat="1" x14ac:dyDescent="0.25">
      <c r="B1197" s="127"/>
      <c r="D1197" s="234"/>
      <c r="E1197" s="234"/>
      <c r="V1197" s="262"/>
      <c r="W1197" s="254"/>
      <c r="X1197" s="254"/>
      <c r="Y1197" s="154"/>
      <c r="Z1197" s="6"/>
      <c r="AA1197" s="6"/>
      <c r="AB1197" s="6"/>
      <c r="AC1197" s="6"/>
      <c r="AD1197" s="6"/>
      <c r="AE1197" s="75"/>
      <c r="AF1197" s="45"/>
    </row>
    <row r="1198" spans="2:32" customFormat="1" x14ac:dyDescent="0.25">
      <c r="B1198" s="127"/>
      <c r="D1198" s="234"/>
      <c r="E1198" s="234"/>
      <c r="V1198" s="262"/>
      <c r="W1198" s="254"/>
      <c r="X1198" s="254"/>
      <c r="Y1198" s="154"/>
      <c r="Z1198" s="6"/>
      <c r="AA1198" s="6"/>
      <c r="AB1198" s="6"/>
      <c r="AC1198" s="6"/>
      <c r="AD1198" s="6"/>
      <c r="AE1198" s="75"/>
      <c r="AF1198" s="45"/>
    </row>
    <row r="1199" spans="2:32" customFormat="1" x14ac:dyDescent="0.25">
      <c r="B1199" s="127"/>
      <c r="D1199" s="234"/>
      <c r="E1199" s="234"/>
      <c r="V1199" s="262"/>
      <c r="W1199" s="254"/>
      <c r="X1199" s="254"/>
      <c r="Y1199" s="154"/>
      <c r="Z1199" s="6"/>
      <c r="AA1199" s="6"/>
      <c r="AB1199" s="6"/>
      <c r="AC1199" s="6"/>
      <c r="AD1199" s="6"/>
      <c r="AE1199" s="75"/>
      <c r="AF1199" s="45"/>
    </row>
    <row r="1200" spans="2:32" customFormat="1" x14ac:dyDescent="0.25">
      <c r="B1200" s="127"/>
      <c r="D1200" s="234"/>
      <c r="E1200" s="234"/>
      <c r="V1200" s="262"/>
      <c r="W1200" s="254"/>
      <c r="X1200" s="254"/>
      <c r="Y1200" s="154"/>
      <c r="Z1200" s="6"/>
      <c r="AA1200" s="6"/>
      <c r="AB1200" s="6"/>
      <c r="AC1200" s="6"/>
      <c r="AD1200" s="6"/>
      <c r="AE1200" s="75"/>
      <c r="AF1200" s="45"/>
    </row>
    <row r="1201" spans="2:32" customFormat="1" x14ac:dyDescent="0.25">
      <c r="B1201" s="127"/>
      <c r="D1201" s="234"/>
      <c r="E1201" s="234"/>
      <c r="V1201" s="262"/>
      <c r="W1201" s="254"/>
      <c r="X1201" s="254"/>
      <c r="Y1201" s="154"/>
      <c r="Z1201" s="6"/>
      <c r="AA1201" s="6"/>
      <c r="AB1201" s="6"/>
      <c r="AC1201" s="6"/>
      <c r="AD1201" s="6"/>
      <c r="AE1201" s="75"/>
      <c r="AF1201" s="45"/>
    </row>
    <row r="1202" spans="2:32" customFormat="1" x14ac:dyDescent="0.25">
      <c r="B1202" s="127"/>
      <c r="D1202" s="234"/>
      <c r="E1202" s="234"/>
      <c r="V1202" s="262"/>
      <c r="W1202" s="254"/>
      <c r="X1202" s="254"/>
      <c r="Y1202" s="154"/>
      <c r="Z1202" s="6"/>
      <c r="AA1202" s="6"/>
      <c r="AB1202" s="6"/>
      <c r="AC1202" s="6"/>
      <c r="AD1202" s="6"/>
      <c r="AE1202" s="75"/>
      <c r="AF1202" s="45"/>
    </row>
    <row r="1203" spans="2:32" customFormat="1" x14ac:dyDescent="0.25">
      <c r="B1203" s="127"/>
      <c r="D1203" s="234"/>
      <c r="E1203" s="234"/>
      <c r="V1203" s="262"/>
      <c r="W1203" s="254"/>
      <c r="X1203" s="254"/>
      <c r="Y1203" s="154"/>
      <c r="Z1203" s="6"/>
      <c r="AA1203" s="6"/>
      <c r="AB1203" s="6"/>
      <c r="AC1203" s="6"/>
      <c r="AD1203" s="6"/>
      <c r="AE1203" s="75"/>
      <c r="AF1203" s="45"/>
    </row>
    <row r="1204" spans="2:32" customFormat="1" x14ac:dyDescent="0.25">
      <c r="B1204" s="127"/>
      <c r="D1204" s="234"/>
      <c r="E1204" s="234"/>
      <c r="V1204" s="262"/>
      <c r="W1204" s="254"/>
      <c r="X1204" s="254"/>
      <c r="Y1204" s="154"/>
      <c r="Z1204" s="6"/>
      <c r="AA1204" s="6"/>
      <c r="AB1204" s="6"/>
      <c r="AC1204" s="6"/>
      <c r="AD1204" s="6"/>
      <c r="AE1204" s="75"/>
      <c r="AF1204" s="45"/>
    </row>
    <row r="1205" spans="2:32" customFormat="1" x14ac:dyDescent="0.25">
      <c r="B1205" s="127"/>
      <c r="D1205" s="234"/>
      <c r="E1205" s="234"/>
      <c r="V1205" s="262"/>
      <c r="W1205" s="254"/>
      <c r="X1205" s="254"/>
      <c r="Y1205" s="154"/>
      <c r="Z1205" s="6"/>
      <c r="AA1205" s="6"/>
      <c r="AB1205" s="6"/>
      <c r="AC1205" s="6"/>
      <c r="AD1205" s="6"/>
      <c r="AE1205" s="75"/>
      <c r="AF1205" s="45"/>
    </row>
    <row r="1206" spans="2:32" customFormat="1" x14ac:dyDescent="0.25">
      <c r="B1206" s="127"/>
      <c r="D1206" s="234"/>
      <c r="E1206" s="234"/>
      <c r="V1206" s="262"/>
      <c r="W1206" s="254"/>
      <c r="X1206" s="254"/>
      <c r="Y1206" s="154"/>
      <c r="Z1206" s="6"/>
      <c r="AA1206" s="6"/>
      <c r="AB1206" s="6"/>
      <c r="AC1206" s="6"/>
      <c r="AD1206" s="6"/>
      <c r="AE1206" s="75"/>
      <c r="AF1206" s="45"/>
    </row>
    <row r="1207" spans="2:32" customFormat="1" x14ac:dyDescent="0.25">
      <c r="B1207" s="127"/>
      <c r="D1207" s="234"/>
      <c r="E1207" s="234"/>
      <c r="V1207" s="262"/>
      <c r="W1207" s="254"/>
      <c r="X1207" s="254"/>
      <c r="Y1207" s="154"/>
      <c r="Z1207" s="6"/>
      <c r="AA1207" s="6"/>
      <c r="AB1207" s="6"/>
      <c r="AC1207" s="6"/>
      <c r="AD1207" s="6"/>
      <c r="AE1207" s="75"/>
      <c r="AF1207" s="45"/>
    </row>
    <row r="1208" spans="2:32" customFormat="1" x14ac:dyDescent="0.25">
      <c r="B1208" s="127"/>
      <c r="D1208" s="234"/>
      <c r="E1208" s="234"/>
      <c r="V1208" s="262"/>
      <c r="W1208" s="254"/>
      <c r="X1208" s="254"/>
      <c r="Y1208" s="154"/>
      <c r="Z1208" s="6"/>
      <c r="AA1208" s="6"/>
      <c r="AB1208" s="6"/>
      <c r="AC1208" s="6"/>
      <c r="AD1208" s="6"/>
      <c r="AE1208" s="75"/>
      <c r="AF1208" s="45"/>
    </row>
    <row r="1209" spans="2:32" customFormat="1" x14ac:dyDescent="0.25">
      <c r="B1209" s="127"/>
      <c r="D1209" s="234"/>
      <c r="E1209" s="234"/>
      <c r="V1209" s="262"/>
      <c r="W1209" s="254"/>
      <c r="X1209" s="254"/>
      <c r="Y1209" s="154"/>
      <c r="Z1209" s="6"/>
      <c r="AA1209" s="6"/>
      <c r="AB1209" s="6"/>
      <c r="AC1209" s="6"/>
      <c r="AD1209" s="6"/>
      <c r="AE1209" s="75"/>
      <c r="AF1209" s="45"/>
    </row>
    <row r="1210" spans="2:32" customFormat="1" x14ac:dyDescent="0.25">
      <c r="B1210" s="127"/>
      <c r="D1210" s="234"/>
      <c r="E1210" s="234"/>
      <c r="V1210" s="262"/>
      <c r="W1210" s="254"/>
      <c r="X1210" s="254"/>
      <c r="Y1210" s="154"/>
      <c r="Z1210" s="6"/>
      <c r="AA1210" s="6"/>
      <c r="AB1210" s="6"/>
      <c r="AC1210" s="6"/>
      <c r="AD1210" s="6"/>
      <c r="AE1210" s="75"/>
      <c r="AF1210" s="45"/>
    </row>
    <row r="1211" spans="2:32" customFormat="1" x14ac:dyDescent="0.25">
      <c r="B1211" s="127"/>
      <c r="D1211" s="234"/>
      <c r="E1211" s="234"/>
      <c r="V1211" s="262"/>
      <c r="W1211" s="254"/>
      <c r="X1211" s="254"/>
      <c r="Y1211" s="154"/>
      <c r="Z1211" s="6"/>
      <c r="AA1211" s="6"/>
      <c r="AB1211" s="6"/>
      <c r="AC1211" s="6"/>
      <c r="AD1211" s="6"/>
      <c r="AE1211" s="75"/>
      <c r="AF1211" s="45"/>
    </row>
    <row r="1212" spans="2:32" customFormat="1" x14ac:dyDescent="0.25">
      <c r="B1212" s="127"/>
      <c r="D1212" s="234"/>
      <c r="E1212" s="234"/>
      <c r="V1212" s="262"/>
      <c r="W1212" s="254"/>
      <c r="X1212" s="254"/>
      <c r="Y1212" s="154"/>
      <c r="Z1212" s="6"/>
      <c r="AA1212" s="6"/>
      <c r="AB1212" s="6"/>
      <c r="AC1212" s="6"/>
      <c r="AD1212" s="6"/>
      <c r="AE1212" s="75"/>
      <c r="AF1212" s="45"/>
    </row>
    <row r="1213" spans="2:32" customFormat="1" x14ac:dyDescent="0.25">
      <c r="B1213" s="127"/>
      <c r="D1213" s="234"/>
      <c r="E1213" s="234"/>
      <c r="V1213" s="262"/>
      <c r="W1213" s="254"/>
      <c r="X1213" s="254"/>
      <c r="Y1213" s="154"/>
      <c r="Z1213" s="6"/>
      <c r="AA1213" s="6"/>
      <c r="AB1213" s="6"/>
      <c r="AC1213" s="6"/>
      <c r="AD1213" s="6"/>
      <c r="AE1213" s="75"/>
      <c r="AF1213" s="45"/>
    </row>
    <row r="1214" spans="2:32" customFormat="1" x14ac:dyDescent="0.25">
      <c r="B1214" s="127"/>
      <c r="D1214" s="234"/>
      <c r="E1214" s="234"/>
      <c r="V1214" s="262"/>
      <c r="W1214" s="254"/>
      <c r="X1214" s="254"/>
      <c r="Y1214" s="154"/>
      <c r="Z1214" s="6"/>
      <c r="AA1214" s="6"/>
      <c r="AB1214" s="6"/>
      <c r="AC1214" s="6"/>
      <c r="AD1214" s="6"/>
      <c r="AE1214" s="75"/>
      <c r="AF1214" s="45"/>
    </row>
    <row r="1215" spans="2:32" customFormat="1" x14ac:dyDescent="0.25">
      <c r="B1215" s="127"/>
      <c r="D1215" s="234"/>
      <c r="E1215" s="234"/>
      <c r="V1215" s="262"/>
      <c r="W1215" s="254"/>
      <c r="X1215" s="254"/>
      <c r="Y1215" s="154"/>
      <c r="Z1215" s="6"/>
      <c r="AA1215" s="6"/>
      <c r="AB1215" s="6"/>
      <c r="AC1215" s="6"/>
      <c r="AD1215" s="6"/>
      <c r="AE1215" s="75"/>
      <c r="AF1215" s="45"/>
    </row>
    <row r="1216" spans="2:32" customFormat="1" x14ac:dyDescent="0.25">
      <c r="B1216" s="127"/>
      <c r="D1216" s="234"/>
      <c r="E1216" s="234"/>
      <c r="V1216" s="262"/>
      <c r="W1216" s="254"/>
      <c r="X1216" s="254"/>
      <c r="Y1216" s="154"/>
      <c r="Z1216" s="6"/>
      <c r="AA1216" s="6"/>
      <c r="AB1216" s="6"/>
      <c r="AC1216" s="6"/>
      <c r="AD1216" s="6"/>
      <c r="AE1216" s="75"/>
      <c r="AF1216" s="45"/>
    </row>
    <row r="1217" spans="2:32" customFormat="1" x14ac:dyDescent="0.25">
      <c r="B1217" s="127"/>
      <c r="D1217" s="234"/>
      <c r="E1217" s="234"/>
      <c r="V1217" s="262"/>
      <c r="W1217" s="254"/>
      <c r="X1217" s="254"/>
      <c r="Y1217" s="154"/>
      <c r="Z1217" s="6"/>
      <c r="AA1217" s="6"/>
      <c r="AB1217" s="6"/>
      <c r="AC1217" s="6"/>
      <c r="AD1217" s="6"/>
      <c r="AE1217" s="75"/>
      <c r="AF1217" s="45"/>
    </row>
    <row r="1218" spans="2:32" customFormat="1" x14ac:dyDescent="0.25">
      <c r="B1218" s="127"/>
      <c r="D1218" s="234"/>
      <c r="E1218" s="234"/>
      <c r="V1218" s="262"/>
      <c r="W1218" s="254"/>
      <c r="X1218" s="254"/>
      <c r="Y1218" s="154"/>
      <c r="Z1218" s="6"/>
      <c r="AA1218" s="6"/>
      <c r="AB1218" s="6"/>
      <c r="AC1218" s="6"/>
      <c r="AD1218" s="6"/>
      <c r="AE1218" s="75"/>
      <c r="AF1218" s="45"/>
    </row>
    <row r="1219" spans="2:32" customFormat="1" x14ac:dyDescent="0.25">
      <c r="B1219" s="127"/>
      <c r="D1219" s="234"/>
      <c r="E1219" s="234"/>
      <c r="V1219" s="262"/>
      <c r="W1219" s="254"/>
      <c r="X1219" s="254"/>
      <c r="Y1219" s="154"/>
      <c r="Z1219" s="6"/>
      <c r="AA1219" s="6"/>
      <c r="AB1219" s="6"/>
      <c r="AC1219" s="6"/>
      <c r="AD1219" s="6"/>
      <c r="AE1219" s="75"/>
      <c r="AF1219" s="45"/>
    </row>
    <row r="1220" spans="2:32" customFormat="1" x14ac:dyDescent="0.25">
      <c r="B1220" s="127"/>
      <c r="D1220" s="234"/>
      <c r="E1220" s="234"/>
      <c r="V1220" s="262"/>
      <c r="W1220" s="254"/>
      <c r="X1220" s="254"/>
      <c r="Y1220" s="154"/>
      <c r="Z1220" s="6"/>
      <c r="AA1220" s="6"/>
      <c r="AB1220" s="6"/>
      <c r="AC1220" s="6"/>
      <c r="AD1220" s="6"/>
      <c r="AE1220" s="75"/>
      <c r="AF1220" s="45"/>
    </row>
    <row r="1221" spans="2:32" customFormat="1" x14ac:dyDescent="0.25">
      <c r="B1221" s="127"/>
      <c r="D1221" s="234"/>
      <c r="E1221" s="234"/>
      <c r="V1221" s="262"/>
      <c r="W1221" s="254"/>
      <c r="X1221" s="254"/>
      <c r="Y1221" s="154"/>
      <c r="Z1221" s="6"/>
      <c r="AA1221" s="6"/>
      <c r="AB1221" s="6"/>
      <c r="AC1221" s="6"/>
      <c r="AD1221" s="6"/>
      <c r="AE1221" s="75"/>
      <c r="AF1221" s="45"/>
    </row>
    <row r="1222" spans="2:32" customFormat="1" x14ac:dyDescent="0.25">
      <c r="B1222" s="127"/>
      <c r="D1222" s="234"/>
      <c r="E1222" s="234"/>
      <c r="V1222" s="262"/>
      <c r="W1222" s="254"/>
      <c r="X1222" s="254"/>
      <c r="Y1222" s="154"/>
      <c r="Z1222" s="6"/>
      <c r="AA1222" s="6"/>
      <c r="AB1222" s="6"/>
      <c r="AC1222" s="6"/>
      <c r="AD1222" s="6"/>
      <c r="AE1222" s="75"/>
      <c r="AF1222" s="45"/>
    </row>
    <row r="1223" spans="2:32" customFormat="1" x14ac:dyDescent="0.25">
      <c r="B1223" s="127"/>
      <c r="D1223" s="234"/>
      <c r="E1223" s="234"/>
      <c r="V1223" s="262"/>
      <c r="W1223" s="254"/>
      <c r="X1223" s="254"/>
      <c r="Y1223" s="154"/>
      <c r="Z1223" s="6"/>
      <c r="AA1223" s="6"/>
      <c r="AB1223" s="6"/>
      <c r="AC1223" s="6"/>
      <c r="AD1223" s="6"/>
      <c r="AE1223" s="75"/>
      <c r="AF1223" s="45"/>
    </row>
    <row r="1224" spans="2:32" customFormat="1" x14ac:dyDescent="0.25">
      <c r="B1224" s="127"/>
      <c r="D1224" s="234"/>
      <c r="E1224" s="234"/>
      <c r="V1224" s="262"/>
      <c r="W1224" s="254"/>
      <c r="X1224" s="254"/>
      <c r="Y1224" s="154"/>
      <c r="Z1224" s="6"/>
      <c r="AA1224" s="6"/>
      <c r="AB1224" s="6"/>
      <c r="AC1224" s="6"/>
      <c r="AD1224" s="6"/>
      <c r="AE1224" s="75"/>
      <c r="AF1224" s="45"/>
    </row>
    <row r="1225" spans="2:32" customFormat="1" x14ac:dyDescent="0.25">
      <c r="B1225" s="127"/>
      <c r="D1225" s="234"/>
      <c r="E1225" s="234"/>
      <c r="V1225" s="262"/>
      <c r="W1225" s="254"/>
      <c r="X1225" s="254"/>
      <c r="Y1225" s="154"/>
      <c r="Z1225" s="6"/>
      <c r="AA1225" s="6"/>
      <c r="AB1225" s="6"/>
      <c r="AC1225" s="6"/>
      <c r="AD1225" s="6"/>
      <c r="AE1225" s="75"/>
      <c r="AF1225" s="45"/>
    </row>
    <row r="1226" spans="2:32" customFormat="1" x14ac:dyDescent="0.25">
      <c r="B1226" s="127"/>
      <c r="D1226" s="234"/>
      <c r="E1226" s="234"/>
      <c r="V1226" s="262"/>
      <c r="W1226" s="254"/>
      <c r="X1226" s="254"/>
      <c r="Y1226" s="154"/>
      <c r="Z1226" s="6"/>
      <c r="AA1226" s="6"/>
      <c r="AB1226" s="6"/>
      <c r="AC1226" s="6"/>
      <c r="AD1226" s="6"/>
      <c r="AE1226" s="75"/>
      <c r="AF1226" s="45"/>
    </row>
    <row r="1227" spans="2:32" customFormat="1" x14ac:dyDescent="0.25">
      <c r="B1227" s="127"/>
      <c r="D1227" s="234"/>
      <c r="E1227" s="234"/>
      <c r="V1227" s="262"/>
      <c r="W1227" s="254"/>
      <c r="X1227" s="254"/>
      <c r="Y1227" s="154"/>
      <c r="Z1227" s="6"/>
      <c r="AA1227" s="6"/>
      <c r="AB1227" s="6"/>
      <c r="AC1227" s="6"/>
      <c r="AD1227" s="6"/>
      <c r="AE1227" s="75"/>
      <c r="AF1227" s="45"/>
    </row>
    <row r="1228" spans="2:32" customFormat="1" x14ac:dyDescent="0.25">
      <c r="B1228" s="127"/>
      <c r="D1228" s="234"/>
      <c r="E1228" s="234"/>
      <c r="V1228" s="262"/>
      <c r="W1228" s="254"/>
      <c r="X1228" s="254"/>
      <c r="Y1228" s="154"/>
      <c r="Z1228" s="6"/>
      <c r="AA1228" s="6"/>
      <c r="AB1228" s="6"/>
      <c r="AC1228" s="6"/>
      <c r="AD1228" s="6"/>
      <c r="AE1228" s="75"/>
      <c r="AF1228" s="45"/>
    </row>
    <row r="1229" spans="2:32" customFormat="1" x14ac:dyDescent="0.25">
      <c r="B1229" s="127"/>
      <c r="D1229" s="234"/>
      <c r="E1229" s="234"/>
      <c r="V1229" s="262"/>
      <c r="W1229" s="254"/>
      <c r="X1229" s="254"/>
      <c r="Y1229" s="154"/>
      <c r="Z1229" s="6"/>
      <c r="AA1229" s="6"/>
      <c r="AB1229" s="6"/>
      <c r="AC1229" s="6"/>
      <c r="AD1229" s="6"/>
      <c r="AE1229" s="75"/>
      <c r="AF1229" s="45"/>
    </row>
    <row r="1230" spans="2:32" customFormat="1" x14ac:dyDescent="0.25">
      <c r="B1230" s="127"/>
      <c r="D1230" s="234"/>
      <c r="E1230" s="234"/>
      <c r="V1230" s="262"/>
      <c r="W1230" s="254"/>
      <c r="X1230" s="254"/>
      <c r="Y1230" s="154"/>
      <c r="Z1230" s="6"/>
      <c r="AA1230" s="6"/>
      <c r="AB1230" s="6"/>
      <c r="AC1230" s="6"/>
      <c r="AD1230" s="6"/>
      <c r="AE1230" s="75"/>
      <c r="AF1230" s="45"/>
    </row>
    <row r="1231" spans="2:32" customFormat="1" x14ac:dyDescent="0.25">
      <c r="B1231" s="127"/>
      <c r="D1231" s="234"/>
      <c r="E1231" s="234"/>
      <c r="V1231" s="262"/>
      <c r="W1231" s="254"/>
      <c r="X1231" s="254"/>
      <c r="Y1231" s="154"/>
      <c r="Z1231" s="6"/>
      <c r="AA1231" s="6"/>
      <c r="AB1231" s="6"/>
      <c r="AC1231" s="6"/>
      <c r="AD1231" s="6"/>
      <c r="AE1231" s="75"/>
      <c r="AF1231" s="45"/>
    </row>
    <row r="1232" spans="2:32" customFormat="1" x14ac:dyDescent="0.25">
      <c r="B1232" s="127"/>
      <c r="D1232" s="234"/>
      <c r="E1232" s="234"/>
      <c r="V1232" s="262"/>
      <c r="W1232" s="254"/>
      <c r="X1232" s="254"/>
      <c r="Y1232" s="154"/>
      <c r="Z1232" s="6"/>
      <c r="AA1232" s="6"/>
      <c r="AB1232" s="6"/>
      <c r="AC1232" s="6"/>
      <c r="AD1232" s="6"/>
      <c r="AE1232" s="75"/>
      <c r="AF1232" s="45"/>
    </row>
    <row r="1233" spans="2:32" customFormat="1" x14ac:dyDescent="0.25">
      <c r="B1233" s="127"/>
      <c r="D1233" s="234"/>
      <c r="E1233" s="234"/>
      <c r="V1233" s="262"/>
      <c r="W1233" s="254"/>
      <c r="X1233" s="254"/>
      <c r="Y1233" s="154"/>
      <c r="Z1233" s="6"/>
      <c r="AA1233" s="6"/>
      <c r="AB1233" s="6"/>
      <c r="AC1233" s="6"/>
      <c r="AD1233" s="6"/>
      <c r="AE1233" s="75"/>
      <c r="AF1233" s="45"/>
    </row>
    <row r="1234" spans="2:32" customFormat="1" x14ac:dyDescent="0.25">
      <c r="B1234" s="127"/>
      <c r="D1234" s="234"/>
      <c r="E1234" s="234"/>
      <c r="V1234" s="262"/>
      <c r="W1234" s="254"/>
      <c r="X1234" s="254"/>
      <c r="Y1234" s="154"/>
      <c r="Z1234" s="6"/>
      <c r="AA1234" s="6"/>
      <c r="AB1234" s="6"/>
      <c r="AC1234" s="6"/>
      <c r="AD1234" s="6"/>
      <c r="AE1234" s="75"/>
      <c r="AF1234" s="45"/>
    </row>
    <row r="1235" spans="2:32" customFormat="1" x14ac:dyDescent="0.25">
      <c r="B1235" s="127"/>
      <c r="D1235" s="234"/>
      <c r="E1235" s="234"/>
      <c r="V1235" s="262"/>
      <c r="W1235" s="254"/>
      <c r="X1235" s="254"/>
      <c r="Y1235" s="154"/>
      <c r="Z1235" s="6"/>
      <c r="AA1235" s="6"/>
      <c r="AB1235" s="6"/>
      <c r="AC1235" s="6"/>
      <c r="AD1235" s="6"/>
      <c r="AE1235" s="75"/>
      <c r="AF1235" s="45"/>
    </row>
    <row r="1236" spans="2:32" customFormat="1" x14ac:dyDescent="0.25">
      <c r="B1236" s="127"/>
      <c r="D1236" s="234"/>
      <c r="E1236" s="234"/>
      <c r="V1236" s="262"/>
      <c r="W1236" s="254"/>
      <c r="X1236" s="254"/>
      <c r="Y1236" s="154"/>
      <c r="Z1236" s="6"/>
      <c r="AA1236" s="6"/>
      <c r="AB1236" s="6"/>
      <c r="AC1236" s="6"/>
      <c r="AD1236" s="6"/>
      <c r="AE1236" s="75"/>
      <c r="AF1236" s="45"/>
    </row>
    <row r="1237" spans="2:32" customFormat="1" x14ac:dyDescent="0.25">
      <c r="B1237" s="127"/>
      <c r="D1237" s="234"/>
      <c r="E1237" s="234"/>
      <c r="V1237" s="262"/>
      <c r="W1237" s="254"/>
      <c r="X1237" s="254"/>
      <c r="Y1237" s="154"/>
      <c r="Z1237" s="6"/>
      <c r="AA1237" s="6"/>
      <c r="AB1237" s="6"/>
      <c r="AC1237" s="6"/>
      <c r="AD1237" s="6"/>
      <c r="AE1237" s="75"/>
      <c r="AF1237" s="45"/>
    </row>
    <row r="1238" spans="2:32" customFormat="1" x14ac:dyDescent="0.25">
      <c r="B1238" s="127"/>
      <c r="D1238" s="234"/>
      <c r="E1238" s="234"/>
      <c r="V1238" s="262"/>
      <c r="W1238" s="254"/>
      <c r="X1238" s="254"/>
      <c r="Y1238" s="154"/>
      <c r="Z1238" s="6"/>
      <c r="AA1238" s="6"/>
      <c r="AB1238" s="6"/>
      <c r="AC1238" s="6"/>
      <c r="AD1238" s="6"/>
      <c r="AE1238" s="75"/>
      <c r="AF1238" s="45"/>
    </row>
    <row r="1239" spans="2:32" customFormat="1" x14ac:dyDescent="0.25">
      <c r="B1239" s="127"/>
      <c r="D1239" s="234"/>
      <c r="E1239" s="234"/>
      <c r="V1239" s="262"/>
      <c r="W1239" s="254"/>
      <c r="X1239" s="254"/>
      <c r="Y1239" s="154"/>
      <c r="Z1239" s="6"/>
      <c r="AA1239" s="6"/>
      <c r="AB1239" s="6"/>
      <c r="AC1239" s="6"/>
      <c r="AD1239" s="6"/>
      <c r="AE1239" s="75"/>
      <c r="AF1239" s="45"/>
    </row>
    <row r="1240" spans="2:32" customFormat="1" x14ac:dyDescent="0.25">
      <c r="B1240" s="127"/>
      <c r="D1240" s="234"/>
      <c r="E1240" s="234"/>
      <c r="V1240" s="262"/>
      <c r="W1240" s="254"/>
      <c r="X1240" s="254"/>
      <c r="Y1240" s="154"/>
      <c r="Z1240" s="6"/>
      <c r="AA1240" s="6"/>
      <c r="AB1240" s="6"/>
      <c r="AC1240" s="6"/>
      <c r="AD1240" s="6"/>
      <c r="AE1240" s="75"/>
      <c r="AF1240" s="45"/>
    </row>
    <row r="1241" spans="2:32" customFormat="1" x14ac:dyDescent="0.25">
      <c r="B1241" s="127"/>
      <c r="D1241" s="234"/>
      <c r="E1241" s="234"/>
      <c r="V1241" s="262"/>
      <c r="W1241" s="254"/>
      <c r="X1241" s="254"/>
      <c r="Y1241" s="154"/>
      <c r="Z1241" s="6"/>
      <c r="AA1241" s="6"/>
      <c r="AB1241" s="6"/>
      <c r="AC1241" s="6"/>
      <c r="AD1241" s="6"/>
      <c r="AE1241" s="75"/>
      <c r="AF1241" s="45"/>
    </row>
    <row r="1242" spans="2:32" customFormat="1" x14ac:dyDescent="0.25">
      <c r="B1242" s="127"/>
      <c r="D1242" s="234"/>
      <c r="E1242" s="234"/>
      <c r="V1242" s="262"/>
      <c r="W1242" s="254"/>
      <c r="X1242" s="254"/>
      <c r="Y1242" s="154"/>
      <c r="Z1242" s="6"/>
      <c r="AA1242" s="6"/>
      <c r="AB1242" s="6"/>
      <c r="AC1242" s="6"/>
      <c r="AD1242" s="6"/>
      <c r="AE1242" s="75"/>
      <c r="AF1242" s="45"/>
    </row>
    <row r="1243" spans="2:32" customFormat="1" x14ac:dyDescent="0.25">
      <c r="B1243" s="127"/>
      <c r="D1243" s="234"/>
      <c r="E1243" s="234"/>
      <c r="V1243" s="262"/>
      <c r="W1243" s="254"/>
      <c r="X1243" s="254"/>
      <c r="Y1243" s="154"/>
      <c r="Z1243" s="6"/>
      <c r="AA1243" s="6"/>
      <c r="AB1243" s="6"/>
      <c r="AC1243" s="6"/>
      <c r="AD1243" s="6"/>
      <c r="AE1243" s="75"/>
      <c r="AF1243" s="45"/>
    </row>
    <row r="1244" spans="2:32" customFormat="1" x14ac:dyDescent="0.25">
      <c r="B1244" s="127"/>
      <c r="D1244" s="234"/>
      <c r="E1244" s="234"/>
      <c r="V1244" s="262"/>
      <c r="W1244" s="254"/>
      <c r="X1244" s="254"/>
      <c r="Y1244" s="154"/>
      <c r="Z1244" s="6"/>
      <c r="AA1244" s="6"/>
      <c r="AB1244" s="6"/>
      <c r="AC1244" s="6"/>
      <c r="AD1244" s="6"/>
      <c r="AE1244" s="75"/>
      <c r="AF1244" s="45"/>
    </row>
    <row r="1245" spans="2:32" customFormat="1" x14ac:dyDescent="0.25">
      <c r="B1245" s="127"/>
      <c r="D1245" s="234"/>
      <c r="E1245" s="234"/>
      <c r="V1245" s="262"/>
      <c r="W1245" s="254"/>
      <c r="X1245" s="254"/>
      <c r="Y1245" s="154"/>
      <c r="Z1245" s="6"/>
      <c r="AA1245" s="6"/>
      <c r="AB1245" s="6"/>
      <c r="AC1245" s="6"/>
      <c r="AD1245" s="6"/>
      <c r="AE1245" s="75"/>
      <c r="AF1245" s="45"/>
    </row>
    <row r="1246" spans="2:32" customFormat="1" x14ac:dyDescent="0.25">
      <c r="B1246" s="127"/>
      <c r="D1246" s="234"/>
      <c r="E1246" s="234"/>
      <c r="V1246" s="262"/>
      <c r="W1246" s="254"/>
      <c r="X1246" s="254"/>
      <c r="Y1246" s="154"/>
      <c r="Z1246" s="6"/>
      <c r="AA1246" s="6"/>
      <c r="AB1246" s="6"/>
      <c r="AC1246" s="6"/>
      <c r="AD1246" s="6"/>
      <c r="AE1246" s="75"/>
      <c r="AF1246" s="45"/>
    </row>
    <row r="1247" spans="2:32" customFormat="1" x14ac:dyDescent="0.25">
      <c r="B1247" s="127"/>
      <c r="D1247" s="234"/>
      <c r="E1247" s="234"/>
      <c r="V1247" s="262"/>
      <c r="W1247" s="254"/>
      <c r="X1247" s="254"/>
      <c r="Y1247" s="154"/>
      <c r="Z1247" s="6"/>
      <c r="AA1247" s="6"/>
      <c r="AB1247" s="6"/>
      <c r="AC1247" s="6"/>
      <c r="AD1247" s="6"/>
      <c r="AE1247" s="75"/>
      <c r="AF1247" s="45"/>
    </row>
    <row r="1248" spans="2:32" customFormat="1" x14ac:dyDescent="0.25">
      <c r="B1248" s="127"/>
      <c r="D1248" s="234"/>
      <c r="E1248" s="234"/>
      <c r="V1248" s="262"/>
      <c r="W1248" s="254"/>
      <c r="X1248" s="254"/>
      <c r="Y1248" s="154"/>
      <c r="Z1248" s="6"/>
      <c r="AA1248" s="6"/>
      <c r="AB1248" s="6"/>
      <c r="AC1248" s="6"/>
      <c r="AD1248" s="6"/>
      <c r="AE1248" s="75"/>
      <c r="AF1248" s="45"/>
    </row>
    <row r="1249" spans="2:32" customFormat="1" x14ac:dyDescent="0.25">
      <c r="B1249" s="127"/>
      <c r="D1249" s="234"/>
      <c r="E1249" s="234"/>
      <c r="V1249" s="262"/>
      <c r="W1249" s="254"/>
      <c r="X1249" s="254"/>
      <c r="Y1249" s="154"/>
      <c r="Z1249" s="6"/>
      <c r="AA1249" s="6"/>
      <c r="AB1249" s="6"/>
      <c r="AC1249" s="6"/>
      <c r="AD1249" s="6"/>
      <c r="AE1249" s="75"/>
      <c r="AF1249" s="45"/>
    </row>
    <row r="1250" spans="2:32" customFormat="1" x14ac:dyDescent="0.25">
      <c r="B1250" s="127"/>
      <c r="D1250" s="234"/>
      <c r="E1250" s="234"/>
      <c r="V1250" s="262"/>
      <c r="W1250" s="254"/>
      <c r="X1250" s="254"/>
      <c r="Y1250" s="154"/>
      <c r="Z1250" s="6"/>
      <c r="AA1250" s="6"/>
      <c r="AB1250" s="6"/>
      <c r="AC1250" s="6"/>
      <c r="AD1250" s="6"/>
      <c r="AE1250" s="75"/>
      <c r="AF1250" s="45"/>
    </row>
    <row r="1251" spans="2:32" customFormat="1" x14ac:dyDescent="0.25">
      <c r="B1251" s="127"/>
      <c r="D1251" s="234"/>
      <c r="E1251" s="234"/>
      <c r="V1251" s="262"/>
      <c r="W1251" s="254"/>
      <c r="X1251" s="254"/>
      <c r="Y1251" s="154"/>
      <c r="Z1251" s="6"/>
      <c r="AA1251" s="6"/>
      <c r="AB1251" s="6"/>
      <c r="AC1251" s="6"/>
      <c r="AD1251" s="6"/>
      <c r="AE1251" s="75"/>
      <c r="AF1251" s="45"/>
    </row>
    <row r="1252" spans="2:32" customFormat="1" x14ac:dyDescent="0.25">
      <c r="B1252" s="127"/>
      <c r="D1252" s="234"/>
      <c r="E1252" s="234"/>
      <c r="V1252" s="262"/>
      <c r="W1252" s="254"/>
      <c r="X1252" s="254"/>
      <c r="Y1252" s="154"/>
      <c r="Z1252" s="6"/>
      <c r="AA1252" s="6"/>
      <c r="AB1252" s="6"/>
      <c r="AC1252" s="6"/>
      <c r="AD1252" s="6"/>
      <c r="AE1252" s="75"/>
      <c r="AF1252" s="45"/>
    </row>
    <row r="1253" spans="2:32" customFormat="1" x14ac:dyDescent="0.25">
      <c r="B1253" s="127"/>
      <c r="D1253" s="234"/>
      <c r="E1253" s="234"/>
      <c r="V1253" s="262"/>
      <c r="W1253" s="254"/>
      <c r="X1253" s="254"/>
      <c r="Y1253" s="154"/>
      <c r="Z1253" s="6"/>
      <c r="AA1253" s="6"/>
      <c r="AB1253" s="6"/>
      <c r="AC1253" s="6"/>
      <c r="AD1253" s="6"/>
      <c r="AE1253" s="75"/>
      <c r="AF1253" s="45"/>
    </row>
    <row r="1254" spans="2:32" customFormat="1" x14ac:dyDescent="0.25">
      <c r="B1254" s="127"/>
      <c r="D1254" s="234"/>
      <c r="E1254" s="234"/>
      <c r="V1254" s="262"/>
      <c r="W1254" s="254"/>
      <c r="X1254" s="254"/>
      <c r="Y1254" s="154"/>
      <c r="Z1254" s="6"/>
      <c r="AA1254" s="6"/>
      <c r="AB1254" s="6"/>
      <c r="AC1254" s="6"/>
      <c r="AD1254" s="6"/>
      <c r="AE1254" s="75"/>
      <c r="AF1254" s="45"/>
    </row>
    <row r="1255" spans="2:32" customFormat="1" x14ac:dyDescent="0.25">
      <c r="B1255" s="127"/>
      <c r="D1255" s="234"/>
      <c r="E1255" s="234"/>
      <c r="V1255" s="262"/>
      <c r="W1255" s="254"/>
      <c r="X1255" s="254"/>
      <c r="Y1255" s="154"/>
      <c r="Z1255" s="6"/>
      <c r="AA1255" s="6"/>
      <c r="AB1255" s="6"/>
      <c r="AC1255" s="6"/>
      <c r="AD1255" s="6"/>
      <c r="AE1255" s="75"/>
      <c r="AF1255" s="45"/>
    </row>
    <row r="1256" spans="2:32" customFormat="1" x14ac:dyDescent="0.25">
      <c r="B1256" s="127"/>
      <c r="D1256" s="234"/>
      <c r="E1256" s="234"/>
      <c r="V1256" s="262"/>
      <c r="W1256" s="254"/>
      <c r="X1256" s="254"/>
      <c r="Y1256" s="154"/>
      <c r="Z1256" s="6"/>
      <c r="AA1256" s="6"/>
      <c r="AB1256" s="6"/>
      <c r="AC1256" s="6"/>
      <c r="AD1256" s="6"/>
      <c r="AE1256" s="75"/>
      <c r="AF1256" s="45"/>
    </row>
    <row r="1257" spans="2:32" customFormat="1" x14ac:dyDescent="0.25">
      <c r="B1257" s="127"/>
      <c r="D1257" s="234"/>
      <c r="E1257" s="234"/>
      <c r="V1257" s="262"/>
      <c r="W1257" s="254"/>
      <c r="X1257" s="254"/>
      <c r="Y1257" s="154"/>
      <c r="Z1257" s="6"/>
      <c r="AA1257" s="6"/>
      <c r="AB1257" s="6"/>
      <c r="AC1257" s="6"/>
      <c r="AD1257" s="6"/>
      <c r="AE1257" s="75"/>
      <c r="AF1257" s="45"/>
    </row>
    <row r="1258" spans="2:32" customFormat="1" x14ac:dyDescent="0.25">
      <c r="B1258" s="127"/>
      <c r="D1258" s="234"/>
      <c r="E1258" s="234"/>
      <c r="V1258" s="262"/>
      <c r="W1258" s="254"/>
      <c r="X1258" s="254"/>
      <c r="Y1258" s="154"/>
      <c r="Z1258" s="6"/>
      <c r="AA1258" s="6"/>
      <c r="AB1258" s="6"/>
      <c r="AC1258" s="6"/>
      <c r="AD1258" s="6"/>
      <c r="AE1258" s="75"/>
      <c r="AF1258" s="45"/>
    </row>
    <row r="1259" spans="2:32" customFormat="1" x14ac:dyDescent="0.25">
      <c r="B1259" s="127"/>
      <c r="D1259" s="234"/>
      <c r="E1259" s="234"/>
      <c r="V1259" s="262"/>
      <c r="W1259" s="254"/>
      <c r="X1259" s="254"/>
      <c r="Y1259" s="154"/>
      <c r="Z1259" s="6"/>
      <c r="AA1259" s="6"/>
      <c r="AB1259" s="6"/>
      <c r="AC1259" s="6"/>
      <c r="AD1259" s="6"/>
      <c r="AE1259" s="75"/>
      <c r="AF1259" s="45"/>
    </row>
    <row r="1260" spans="2:32" customFormat="1" x14ac:dyDescent="0.25">
      <c r="B1260" s="127"/>
      <c r="D1260" s="234"/>
      <c r="E1260" s="234"/>
      <c r="V1260" s="262"/>
      <c r="W1260" s="254"/>
      <c r="X1260" s="254"/>
      <c r="Y1260" s="154"/>
      <c r="Z1260" s="6"/>
      <c r="AA1260" s="6"/>
      <c r="AB1260" s="6"/>
      <c r="AC1260" s="6"/>
      <c r="AD1260" s="6"/>
      <c r="AE1260" s="75"/>
      <c r="AF1260" s="45"/>
    </row>
    <row r="1261" spans="2:32" customFormat="1" x14ac:dyDescent="0.25">
      <c r="B1261" s="127"/>
      <c r="D1261" s="234"/>
      <c r="E1261" s="234"/>
      <c r="V1261" s="262"/>
      <c r="W1261" s="254"/>
      <c r="X1261" s="254"/>
      <c r="Y1261" s="154"/>
      <c r="Z1261" s="6"/>
      <c r="AA1261" s="6"/>
      <c r="AB1261" s="6"/>
      <c r="AC1261" s="6"/>
      <c r="AD1261" s="6"/>
      <c r="AE1261" s="75"/>
      <c r="AF1261" s="45"/>
    </row>
    <row r="1262" spans="2:32" customFormat="1" x14ac:dyDescent="0.25">
      <c r="B1262" s="127"/>
      <c r="D1262" s="234"/>
      <c r="E1262" s="234"/>
      <c r="V1262" s="262"/>
      <c r="W1262" s="254"/>
      <c r="X1262" s="254"/>
      <c r="Y1262" s="154"/>
      <c r="Z1262" s="6"/>
      <c r="AA1262" s="6"/>
      <c r="AB1262" s="6"/>
      <c r="AC1262" s="6"/>
      <c r="AD1262" s="6"/>
      <c r="AE1262" s="75"/>
      <c r="AF1262" s="45"/>
    </row>
    <row r="1263" spans="2:32" customFormat="1" x14ac:dyDescent="0.25">
      <c r="B1263" s="127"/>
      <c r="D1263" s="234"/>
      <c r="E1263" s="234"/>
      <c r="V1263" s="262"/>
      <c r="W1263" s="254"/>
      <c r="X1263" s="254"/>
      <c r="Y1263" s="154"/>
      <c r="Z1263" s="6"/>
      <c r="AA1263" s="6"/>
      <c r="AB1263" s="6"/>
      <c r="AC1263" s="6"/>
      <c r="AD1263" s="6"/>
      <c r="AE1263" s="75"/>
      <c r="AF1263" s="45"/>
    </row>
    <row r="1264" spans="2:32" customFormat="1" x14ac:dyDescent="0.25">
      <c r="B1264" s="127"/>
      <c r="D1264" s="234"/>
      <c r="E1264" s="234"/>
      <c r="V1264" s="262"/>
      <c r="W1264" s="254"/>
      <c r="X1264" s="254"/>
      <c r="Y1264" s="154"/>
      <c r="Z1264" s="6"/>
      <c r="AA1264" s="6"/>
      <c r="AB1264" s="6"/>
      <c r="AC1264" s="6"/>
      <c r="AD1264" s="6"/>
      <c r="AE1264" s="75"/>
      <c r="AF1264" s="45"/>
    </row>
    <row r="1265" spans="2:32" customFormat="1" x14ac:dyDescent="0.25">
      <c r="B1265" s="127"/>
      <c r="D1265" s="234"/>
      <c r="E1265" s="234"/>
      <c r="V1265" s="262"/>
      <c r="W1265" s="254"/>
      <c r="X1265" s="254"/>
      <c r="Y1265" s="154"/>
      <c r="Z1265" s="6"/>
      <c r="AA1265" s="6"/>
      <c r="AB1265" s="6"/>
      <c r="AC1265" s="6"/>
      <c r="AD1265" s="6"/>
      <c r="AE1265" s="75"/>
      <c r="AF1265" s="45"/>
    </row>
    <row r="1266" spans="2:32" customFormat="1" x14ac:dyDescent="0.25">
      <c r="B1266" s="127"/>
      <c r="D1266" s="234"/>
      <c r="E1266" s="234"/>
      <c r="V1266" s="262"/>
      <c r="W1266" s="254"/>
      <c r="X1266" s="254"/>
      <c r="Y1266" s="154"/>
      <c r="Z1266" s="6"/>
      <c r="AA1266" s="6"/>
      <c r="AB1266" s="6"/>
      <c r="AC1266" s="6"/>
      <c r="AD1266" s="6"/>
      <c r="AE1266" s="75"/>
      <c r="AF1266" s="45"/>
    </row>
    <row r="1267" spans="2:32" customFormat="1" x14ac:dyDescent="0.25">
      <c r="B1267" s="127"/>
      <c r="D1267" s="234"/>
      <c r="E1267" s="234"/>
      <c r="V1267" s="262"/>
      <c r="W1267" s="254"/>
      <c r="X1267" s="254"/>
      <c r="Y1267" s="154"/>
      <c r="Z1267" s="6"/>
      <c r="AA1267" s="6"/>
      <c r="AB1267" s="6"/>
      <c r="AC1267" s="6"/>
      <c r="AD1267" s="6"/>
      <c r="AE1267" s="75"/>
      <c r="AF1267" s="45"/>
    </row>
    <row r="1268" spans="2:32" customFormat="1" x14ac:dyDescent="0.25">
      <c r="B1268" s="127"/>
      <c r="D1268" s="234"/>
      <c r="E1268" s="234"/>
      <c r="V1268" s="262"/>
      <c r="W1268" s="254"/>
      <c r="X1268" s="254"/>
      <c r="Y1268" s="154"/>
      <c r="Z1268" s="6"/>
      <c r="AA1268" s="6"/>
      <c r="AB1268" s="6"/>
      <c r="AC1268" s="6"/>
      <c r="AD1268" s="6"/>
      <c r="AE1268" s="75"/>
      <c r="AF1268" s="45"/>
    </row>
    <row r="1269" spans="2:32" customFormat="1" x14ac:dyDescent="0.25">
      <c r="B1269" s="127"/>
      <c r="D1269" s="234"/>
      <c r="E1269" s="234"/>
      <c r="V1269" s="262"/>
      <c r="W1269" s="254"/>
      <c r="X1269" s="254"/>
      <c r="Y1269" s="154"/>
      <c r="Z1269" s="6"/>
      <c r="AA1269" s="6"/>
      <c r="AB1269" s="6"/>
      <c r="AC1269" s="6"/>
      <c r="AD1269" s="6"/>
      <c r="AE1269" s="75"/>
      <c r="AF1269" s="45"/>
    </row>
    <row r="1270" spans="2:32" customFormat="1" x14ac:dyDescent="0.25">
      <c r="B1270" s="127"/>
      <c r="D1270" s="234"/>
      <c r="E1270" s="234"/>
      <c r="V1270" s="262"/>
      <c r="W1270" s="254"/>
      <c r="X1270" s="254"/>
      <c r="Y1270" s="154"/>
      <c r="Z1270" s="6"/>
      <c r="AA1270" s="6"/>
      <c r="AB1270" s="6"/>
      <c r="AC1270" s="6"/>
      <c r="AD1270" s="6"/>
      <c r="AE1270" s="75"/>
      <c r="AF1270" s="45"/>
    </row>
    <row r="1271" spans="2:32" customFormat="1" x14ac:dyDescent="0.25">
      <c r="B1271" s="127"/>
      <c r="D1271" s="234"/>
      <c r="E1271" s="234"/>
      <c r="V1271" s="262"/>
      <c r="W1271" s="254"/>
      <c r="X1271" s="254"/>
      <c r="Y1271" s="154"/>
      <c r="Z1271" s="6"/>
      <c r="AA1271" s="6"/>
      <c r="AB1271" s="6"/>
      <c r="AC1271" s="6"/>
      <c r="AD1271" s="6"/>
      <c r="AE1271" s="75"/>
      <c r="AF1271" s="45"/>
    </row>
    <row r="1272" spans="2:32" customFormat="1" x14ac:dyDescent="0.25">
      <c r="B1272" s="127"/>
      <c r="D1272" s="234"/>
      <c r="E1272" s="234"/>
      <c r="V1272" s="262"/>
      <c r="W1272" s="254"/>
      <c r="X1272" s="254"/>
      <c r="Y1272" s="154"/>
      <c r="Z1272" s="6"/>
      <c r="AA1272" s="6"/>
      <c r="AB1272" s="6"/>
      <c r="AC1272" s="6"/>
      <c r="AD1272" s="6"/>
      <c r="AE1272" s="75"/>
      <c r="AF1272" s="45"/>
    </row>
    <row r="1273" spans="2:32" customFormat="1" x14ac:dyDescent="0.25">
      <c r="B1273" s="127"/>
      <c r="D1273" s="234"/>
      <c r="E1273" s="234"/>
      <c r="V1273" s="262"/>
      <c r="W1273" s="254"/>
      <c r="X1273" s="254"/>
      <c r="Y1273" s="154"/>
      <c r="Z1273" s="6"/>
      <c r="AA1273" s="6"/>
      <c r="AB1273" s="6"/>
      <c r="AC1273" s="6"/>
      <c r="AD1273" s="6"/>
      <c r="AE1273" s="75"/>
      <c r="AF1273" s="45"/>
    </row>
    <row r="1274" spans="2:32" customFormat="1" x14ac:dyDescent="0.25">
      <c r="B1274" s="127"/>
      <c r="D1274" s="234"/>
      <c r="E1274" s="234"/>
      <c r="V1274" s="262"/>
      <c r="W1274" s="254"/>
      <c r="X1274" s="254"/>
      <c r="Y1274" s="154"/>
      <c r="Z1274" s="6"/>
      <c r="AA1274" s="6"/>
      <c r="AB1274" s="6"/>
      <c r="AC1274" s="6"/>
      <c r="AD1274" s="6"/>
      <c r="AE1274" s="75"/>
      <c r="AF1274" s="45"/>
    </row>
    <row r="1275" spans="2:32" customFormat="1" x14ac:dyDescent="0.25">
      <c r="B1275" s="127"/>
      <c r="D1275" s="234"/>
      <c r="E1275" s="234"/>
      <c r="V1275" s="262"/>
      <c r="W1275" s="254"/>
      <c r="X1275" s="254"/>
      <c r="Y1275" s="154"/>
      <c r="Z1275" s="6"/>
      <c r="AA1275" s="6"/>
      <c r="AB1275" s="6"/>
      <c r="AC1275" s="6"/>
      <c r="AD1275" s="6"/>
      <c r="AE1275" s="75"/>
      <c r="AF1275" s="45"/>
    </row>
    <row r="1276" spans="2:32" customFormat="1" x14ac:dyDescent="0.25">
      <c r="B1276" s="127"/>
      <c r="D1276" s="234"/>
      <c r="E1276" s="234"/>
      <c r="V1276" s="262"/>
      <c r="W1276" s="254"/>
      <c r="X1276" s="254"/>
      <c r="Y1276" s="154"/>
      <c r="Z1276" s="6"/>
      <c r="AA1276" s="6"/>
      <c r="AB1276" s="6"/>
      <c r="AC1276" s="6"/>
      <c r="AD1276" s="6"/>
      <c r="AE1276" s="75"/>
      <c r="AF1276" s="45"/>
    </row>
    <row r="1277" spans="2:32" customFormat="1" x14ac:dyDescent="0.25">
      <c r="B1277" s="127"/>
      <c r="D1277" s="234"/>
      <c r="E1277" s="234"/>
      <c r="V1277" s="262"/>
      <c r="W1277" s="254"/>
      <c r="X1277" s="254"/>
      <c r="Y1277" s="154"/>
      <c r="Z1277" s="6"/>
      <c r="AA1277" s="6"/>
      <c r="AB1277" s="6"/>
      <c r="AC1277" s="6"/>
      <c r="AD1277" s="6"/>
      <c r="AE1277" s="75"/>
      <c r="AF1277" s="45"/>
    </row>
    <row r="1278" spans="2:32" customFormat="1" x14ac:dyDescent="0.25">
      <c r="B1278" s="127"/>
      <c r="D1278" s="234"/>
      <c r="E1278" s="234"/>
      <c r="V1278" s="262"/>
      <c r="W1278" s="254"/>
      <c r="X1278" s="254"/>
      <c r="Y1278" s="154"/>
      <c r="Z1278" s="6"/>
      <c r="AA1278" s="6"/>
      <c r="AB1278" s="6"/>
      <c r="AC1278" s="6"/>
      <c r="AD1278" s="6"/>
      <c r="AE1278" s="75"/>
      <c r="AF1278" s="45"/>
    </row>
    <row r="1279" spans="2:32" customFormat="1" x14ac:dyDescent="0.25">
      <c r="B1279" s="127"/>
      <c r="D1279" s="234"/>
      <c r="E1279" s="234"/>
      <c r="V1279" s="262"/>
      <c r="W1279" s="254"/>
      <c r="X1279" s="254"/>
      <c r="Y1279" s="154"/>
      <c r="Z1279" s="6"/>
      <c r="AA1279" s="6"/>
      <c r="AB1279" s="6"/>
      <c r="AC1279" s="6"/>
      <c r="AD1279" s="6"/>
      <c r="AE1279" s="75"/>
      <c r="AF1279" s="45"/>
    </row>
    <row r="1280" spans="2:32" customFormat="1" x14ac:dyDescent="0.25">
      <c r="B1280" s="127"/>
      <c r="D1280" s="234"/>
      <c r="E1280" s="234"/>
      <c r="V1280" s="262"/>
      <c r="W1280" s="254"/>
      <c r="X1280" s="254"/>
      <c r="Y1280" s="154"/>
      <c r="Z1280" s="6"/>
      <c r="AA1280" s="6"/>
      <c r="AB1280" s="6"/>
      <c r="AC1280" s="6"/>
      <c r="AD1280" s="6"/>
      <c r="AE1280" s="75"/>
      <c r="AF1280" s="45"/>
    </row>
    <row r="1281" spans="2:32" customFormat="1" x14ac:dyDescent="0.25">
      <c r="B1281" s="127"/>
      <c r="D1281" s="234"/>
      <c r="E1281" s="234"/>
      <c r="V1281" s="262"/>
      <c r="W1281" s="254"/>
      <c r="X1281" s="254"/>
      <c r="Y1281" s="154"/>
      <c r="Z1281" s="6"/>
      <c r="AA1281" s="6"/>
      <c r="AB1281" s="6"/>
      <c r="AC1281" s="6"/>
      <c r="AD1281" s="6"/>
      <c r="AE1281" s="75"/>
      <c r="AF1281" s="45"/>
    </row>
    <row r="1282" spans="2:32" customFormat="1" x14ac:dyDescent="0.25">
      <c r="B1282" s="127"/>
      <c r="D1282" s="234"/>
      <c r="E1282" s="234"/>
      <c r="V1282" s="262"/>
      <c r="W1282" s="254"/>
      <c r="X1282" s="254"/>
      <c r="Y1282" s="154"/>
      <c r="Z1282" s="6"/>
      <c r="AA1282" s="6"/>
      <c r="AB1282" s="6"/>
      <c r="AC1282" s="6"/>
      <c r="AD1282" s="6"/>
      <c r="AE1282" s="75"/>
      <c r="AF1282" s="45"/>
    </row>
    <row r="1283" spans="2:32" customFormat="1" x14ac:dyDescent="0.25">
      <c r="B1283" s="127"/>
      <c r="D1283" s="234"/>
      <c r="E1283" s="234"/>
      <c r="V1283" s="262"/>
      <c r="W1283" s="254"/>
      <c r="X1283" s="254"/>
      <c r="Y1283" s="154"/>
      <c r="Z1283" s="6"/>
      <c r="AA1283" s="6"/>
      <c r="AB1283" s="6"/>
      <c r="AC1283" s="6"/>
      <c r="AD1283" s="6"/>
      <c r="AE1283" s="75"/>
      <c r="AF1283" s="45"/>
    </row>
    <row r="1284" spans="2:32" customFormat="1" x14ac:dyDescent="0.25">
      <c r="B1284" s="127"/>
      <c r="D1284" s="234"/>
      <c r="E1284" s="234"/>
      <c r="V1284" s="262"/>
      <c r="W1284" s="254"/>
      <c r="X1284" s="254"/>
      <c r="Y1284" s="154"/>
      <c r="Z1284" s="6"/>
      <c r="AA1284" s="6"/>
      <c r="AB1284" s="6"/>
      <c r="AC1284" s="6"/>
      <c r="AD1284" s="6"/>
      <c r="AE1284" s="75"/>
      <c r="AF1284" s="45"/>
    </row>
    <row r="1285" spans="2:32" customFormat="1" x14ac:dyDescent="0.25">
      <c r="B1285" s="127"/>
      <c r="D1285" s="234"/>
      <c r="E1285" s="234"/>
      <c r="V1285" s="262"/>
      <c r="W1285" s="254"/>
      <c r="X1285" s="254"/>
      <c r="Y1285" s="154"/>
      <c r="Z1285" s="6"/>
      <c r="AA1285" s="6"/>
      <c r="AB1285" s="6"/>
      <c r="AC1285" s="6"/>
      <c r="AD1285" s="6"/>
      <c r="AE1285" s="75"/>
      <c r="AF1285" s="45"/>
    </row>
    <row r="1286" spans="2:32" customFormat="1" x14ac:dyDescent="0.25">
      <c r="B1286" s="127"/>
      <c r="D1286" s="234"/>
      <c r="E1286" s="234"/>
      <c r="V1286" s="262"/>
      <c r="W1286" s="254"/>
      <c r="X1286" s="254"/>
      <c r="Y1286" s="154"/>
      <c r="Z1286" s="6"/>
      <c r="AA1286" s="6"/>
      <c r="AB1286" s="6"/>
      <c r="AC1286" s="6"/>
      <c r="AD1286" s="6"/>
      <c r="AE1286" s="75"/>
      <c r="AF1286" s="45"/>
    </row>
    <row r="1287" spans="2:32" customFormat="1" x14ac:dyDescent="0.25">
      <c r="B1287" s="127"/>
      <c r="D1287" s="234"/>
      <c r="E1287" s="234"/>
      <c r="V1287" s="262"/>
      <c r="W1287" s="254"/>
      <c r="X1287" s="254"/>
      <c r="Y1287" s="154"/>
      <c r="Z1287" s="6"/>
      <c r="AA1287" s="6"/>
      <c r="AB1287" s="6"/>
      <c r="AC1287" s="6"/>
      <c r="AD1287" s="6"/>
      <c r="AE1287" s="75"/>
      <c r="AF1287" s="45"/>
    </row>
    <row r="1288" spans="2:32" customFormat="1" x14ac:dyDescent="0.25">
      <c r="B1288" s="127"/>
      <c r="D1288" s="234"/>
      <c r="E1288" s="234"/>
      <c r="V1288" s="262"/>
      <c r="W1288" s="254"/>
      <c r="X1288" s="254"/>
      <c r="Y1288" s="154"/>
      <c r="Z1288" s="6"/>
      <c r="AA1288" s="6"/>
      <c r="AB1288" s="6"/>
      <c r="AC1288" s="6"/>
      <c r="AD1288" s="6"/>
      <c r="AE1288" s="75"/>
      <c r="AF1288" s="45"/>
    </row>
    <row r="1289" spans="2:32" customFormat="1" x14ac:dyDescent="0.25">
      <c r="B1289" s="127"/>
      <c r="D1289" s="234"/>
      <c r="E1289" s="234"/>
      <c r="V1289" s="262"/>
      <c r="W1289" s="254"/>
      <c r="X1289" s="254"/>
      <c r="Y1289" s="154"/>
      <c r="Z1289" s="6"/>
      <c r="AA1289" s="6"/>
      <c r="AB1289" s="6"/>
      <c r="AC1289" s="6"/>
      <c r="AD1289" s="6"/>
      <c r="AE1289" s="75"/>
      <c r="AF1289" s="45"/>
    </row>
    <row r="1290" spans="2:32" customFormat="1" x14ac:dyDescent="0.25">
      <c r="B1290" s="127"/>
      <c r="D1290" s="234"/>
      <c r="E1290" s="234"/>
      <c r="V1290" s="262"/>
      <c r="W1290" s="254"/>
      <c r="X1290" s="254"/>
      <c r="Y1290" s="154"/>
      <c r="Z1290" s="6"/>
      <c r="AA1290" s="6"/>
      <c r="AB1290" s="6"/>
      <c r="AC1290" s="6"/>
      <c r="AD1290" s="6"/>
      <c r="AE1290" s="75"/>
      <c r="AF1290" s="45"/>
    </row>
    <row r="1291" spans="2:32" customFormat="1" x14ac:dyDescent="0.25">
      <c r="B1291" s="127"/>
      <c r="D1291" s="234"/>
      <c r="E1291" s="234"/>
      <c r="V1291" s="262"/>
      <c r="W1291" s="254"/>
      <c r="X1291" s="254"/>
      <c r="Y1291" s="154"/>
      <c r="Z1291" s="6"/>
      <c r="AA1291" s="6"/>
      <c r="AB1291" s="6"/>
      <c r="AC1291" s="6"/>
      <c r="AD1291" s="6"/>
      <c r="AE1291" s="75"/>
      <c r="AF1291" s="45"/>
    </row>
    <row r="1292" spans="2:32" customFormat="1" x14ac:dyDescent="0.25">
      <c r="B1292" s="127"/>
      <c r="D1292" s="234"/>
      <c r="E1292" s="234"/>
      <c r="V1292" s="262"/>
      <c r="W1292" s="254"/>
      <c r="X1292" s="254"/>
      <c r="Y1292" s="154"/>
      <c r="Z1292" s="6"/>
      <c r="AA1292" s="6"/>
      <c r="AB1292" s="6"/>
      <c r="AC1292" s="6"/>
      <c r="AD1292" s="6"/>
      <c r="AE1292" s="75"/>
      <c r="AF1292" s="45"/>
    </row>
    <row r="1293" spans="2:32" customFormat="1" x14ac:dyDescent="0.25">
      <c r="B1293" s="127"/>
      <c r="D1293" s="234"/>
      <c r="E1293" s="234"/>
      <c r="V1293" s="262"/>
      <c r="W1293" s="254"/>
      <c r="X1293" s="254"/>
      <c r="Y1293" s="154"/>
      <c r="Z1293" s="6"/>
      <c r="AA1293" s="6"/>
      <c r="AB1293" s="6"/>
      <c r="AC1293" s="6"/>
      <c r="AD1293" s="6"/>
      <c r="AE1293" s="75"/>
      <c r="AF1293" s="45"/>
    </row>
    <row r="1294" spans="2:32" customFormat="1" x14ac:dyDescent="0.25">
      <c r="B1294" s="127"/>
      <c r="D1294" s="234"/>
      <c r="E1294" s="234"/>
      <c r="V1294" s="262"/>
      <c r="W1294" s="254"/>
      <c r="X1294" s="254"/>
      <c r="Y1294" s="154"/>
      <c r="Z1294" s="6"/>
      <c r="AA1294" s="6"/>
      <c r="AB1294" s="6"/>
      <c r="AC1294" s="6"/>
      <c r="AD1294" s="6"/>
      <c r="AE1294" s="75"/>
      <c r="AF1294" s="45"/>
    </row>
    <row r="1295" spans="2:32" customFormat="1" x14ac:dyDescent="0.25">
      <c r="B1295" s="127"/>
      <c r="D1295" s="234"/>
      <c r="E1295" s="234"/>
      <c r="V1295" s="262"/>
      <c r="W1295" s="254"/>
      <c r="X1295" s="254"/>
      <c r="Y1295" s="154"/>
      <c r="Z1295" s="6"/>
      <c r="AA1295" s="6"/>
      <c r="AB1295" s="6"/>
      <c r="AC1295" s="6"/>
      <c r="AD1295" s="6"/>
      <c r="AE1295" s="75"/>
      <c r="AF1295" s="45"/>
    </row>
    <row r="1296" spans="2:32" customFormat="1" x14ac:dyDescent="0.25">
      <c r="B1296" s="127"/>
      <c r="D1296" s="234"/>
      <c r="E1296" s="234"/>
      <c r="V1296" s="262"/>
      <c r="W1296" s="254"/>
      <c r="X1296" s="254"/>
      <c r="Y1296" s="154"/>
      <c r="Z1296" s="6"/>
      <c r="AA1296" s="6"/>
      <c r="AB1296" s="6"/>
      <c r="AC1296" s="6"/>
      <c r="AD1296" s="6"/>
      <c r="AE1296" s="75"/>
      <c r="AF1296" s="45"/>
    </row>
    <row r="1297" spans="2:32" customFormat="1" x14ac:dyDescent="0.25">
      <c r="B1297" s="127"/>
      <c r="D1297" s="234"/>
      <c r="E1297" s="234"/>
      <c r="V1297" s="262"/>
      <c r="W1297" s="254"/>
      <c r="X1297" s="254"/>
      <c r="Y1297" s="154"/>
      <c r="Z1297" s="6"/>
      <c r="AA1297" s="6"/>
      <c r="AB1297" s="6"/>
      <c r="AC1297" s="6"/>
      <c r="AD1297" s="6"/>
      <c r="AE1297" s="75"/>
      <c r="AF1297" s="45"/>
    </row>
    <row r="1298" spans="2:32" customFormat="1" x14ac:dyDescent="0.25">
      <c r="B1298" s="127"/>
      <c r="D1298" s="234"/>
      <c r="E1298" s="234"/>
      <c r="V1298" s="262"/>
      <c r="W1298" s="254"/>
      <c r="X1298" s="254"/>
      <c r="Y1298" s="154"/>
      <c r="Z1298" s="6"/>
      <c r="AA1298" s="6"/>
      <c r="AB1298" s="6"/>
      <c r="AC1298" s="6"/>
      <c r="AD1298" s="6"/>
      <c r="AE1298" s="75"/>
      <c r="AF1298" s="45"/>
    </row>
    <row r="1299" spans="2:32" customFormat="1" x14ac:dyDescent="0.25">
      <c r="B1299" s="127"/>
      <c r="D1299" s="234"/>
      <c r="E1299" s="234"/>
      <c r="V1299" s="262"/>
      <c r="W1299" s="254"/>
      <c r="X1299" s="254"/>
      <c r="Y1299" s="154"/>
      <c r="Z1299" s="6"/>
      <c r="AA1299" s="6"/>
      <c r="AB1299" s="6"/>
      <c r="AC1299" s="6"/>
      <c r="AD1299" s="6"/>
      <c r="AE1299" s="75"/>
      <c r="AF1299" s="45"/>
    </row>
    <row r="1300" spans="2:32" customFormat="1" x14ac:dyDescent="0.25">
      <c r="B1300" s="127"/>
      <c r="D1300" s="234"/>
      <c r="E1300" s="234"/>
      <c r="V1300" s="262"/>
      <c r="W1300" s="254"/>
      <c r="X1300" s="254"/>
      <c r="Y1300" s="154"/>
      <c r="Z1300" s="6"/>
      <c r="AA1300" s="6"/>
      <c r="AB1300" s="6"/>
      <c r="AC1300" s="6"/>
      <c r="AD1300" s="6"/>
      <c r="AE1300" s="75"/>
      <c r="AF1300" s="45"/>
    </row>
    <row r="1301" spans="2:32" customFormat="1" x14ac:dyDescent="0.25">
      <c r="B1301" s="127"/>
      <c r="D1301" s="234"/>
      <c r="E1301" s="234"/>
      <c r="V1301" s="262"/>
      <c r="W1301" s="254"/>
      <c r="X1301" s="254"/>
      <c r="Y1301" s="154"/>
      <c r="Z1301" s="6"/>
      <c r="AA1301" s="6"/>
      <c r="AB1301" s="6"/>
      <c r="AC1301" s="6"/>
      <c r="AD1301" s="6"/>
      <c r="AE1301" s="75"/>
      <c r="AF1301" s="45"/>
    </row>
    <row r="1302" spans="2:32" customFormat="1" x14ac:dyDescent="0.25">
      <c r="B1302" s="127"/>
      <c r="D1302" s="234"/>
      <c r="E1302" s="234"/>
      <c r="V1302" s="262"/>
      <c r="W1302" s="254"/>
      <c r="X1302" s="254"/>
      <c r="Y1302" s="154"/>
      <c r="Z1302" s="6"/>
      <c r="AA1302" s="6"/>
      <c r="AB1302" s="6"/>
      <c r="AC1302" s="6"/>
      <c r="AD1302" s="6"/>
      <c r="AE1302" s="75"/>
      <c r="AF1302" s="45"/>
    </row>
    <row r="1303" spans="2:32" customFormat="1" x14ac:dyDescent="0.25">
      <c r="B1303" s="127"/>
      <c r="D1303" s="234"/>
      <c r="E1303" s="234"/>
      <c r="V1303" s="262"/>
      <c r="W1303" s="254"/>
      <c r="X1303" s="254"/>
      <c r="Y1303" s="154"/>
      <c r="Z1303" s="6"/>
      <c r="AA1303" s="6"/>
      <c r="AB1303" s="6"/>
      <c r="AC1303" s="6"/>
      <c r="AD1303" s="6"/>
      <c r="AE1303" s="75"/>
      <c r="AF1303" s="45"/>
    </row>
    <row r="1304" spans="2:32" customFormat="1" x14ac:dyDescent="0.25">
      <c r="B1304" s="127"/>
      <c r="D1304" s="234"/>
      <c r="E1304" s="234"/>
      <c r="V1304" s="262"/>
      <c r="W1304" s="254"/>
      <c r="X1304" s="254"/>
      <c r="Y1304" s="154"/>
      <c r="Z1304" s="6"/>
      <c r="AA1304" s="6"/>
      <c r="AB1304" s="6"/>
      <c r="AC1304" s="6"/>
      <c r="AD1304" s="6"/>
      <c r="AE1304" s="75"/>
      <c r="AF1304" s="45"/>
    </row>
    <row r="1305" spans="2:32" customFormat="1" x14ac:dyDescent="0.25">
      <c r="B1305" s="127"/>
      <c r="D1305" s="234"/>
      <c r="E1305" s="234"/>
      <c r="V1305" s="262"/>
      <c r="W1305" s="254"/>
      <c r="X1305" s="254"/>
      <c r="Y1305" s="154"/>
      <c r="Z1305" s="6"/>
      <c r="AA1305" s="6"/>
      <c r="AB1305" s="6"/>
      <c r="AC1305" s="6"/>
      <c r="AD1305" s="6"/>
      <c r="AE1305" s="75"/>
      <c r="AF1305" s="45"/>
    </row>
    <row r="1306" spans="2:32" customFormat="1" x14ac:dyDescent="0.25">
      <c r="B1306" s="127"/>
      <c r="D1306" s="234"/>
      <c r="E1306" s="234"/>
      <c r="V1306" s="262"/>
      <c r="W1306" s="254"/>
      <c r="X1306" s="254"/>
      <c r="Y1306" s="154"/>
      <c r="Z1306" s="6"/>
      <c r="AA1306" s="6"/>
      <c r="AB1306" s="6"/>
      <c r="AC1306" s="6"/>
      <c r="AD1306" s="6"/>
      <c r="AE1306" s="75"/>
      <c r="AF1306" s="45"/>
    </row>
    <row r="1307" spans="2:32" customFormat="1" x14ac:dyDescent="0.25">
      <c r="B1307" s="127"/>
      <c r="D1307" s="234"/>
      <c r="E1307" s="234"/>
      <c r="V1307" s="262"/>
      <c r="W1307" s="254"/>
      <c r="X1307" s="254"/>
      <c r="Y1307" s="154"/>
      <c r="Z1307" s="6"/>
      <c r="AA1307" s="6"/>
      <c r="AB1307" s="6"/>
      <c r="AC1307" s="6"/>
      <c r="AD1307" s="6"/>
      <c r="AE1307" s="75"/>
      <c r="AF1307" s="45"/>
    </row>
    <row r="1308" spans="2:32" customFormat="1" x14ac:dyDescent="0.25">
      <c r="B1308" s="127"/>
      <c r="D1308" s="234"/>
      <c r="E1308" s="234"/>
      <c r="V1308" s="262"/>
      <c r="W1308" s="254"/>
      <c r="X1308" s="254"/>
      <c r="Y1308" s="154"/>
      <c r="Z1308" s="6"/>
      <c r="AA1308" s="6"/>
      <c r="AB1308" s="6"/>
      <c r="AC1308" s="6"/>
      <c r="AD1308" s="6"/>
      <c r="AE1308" s="75"/>
      <c r="AF1308" s="45"/>
    </row>
    <row r="1309" spans="2:32" customFormat="1" x14ac:dyDescent="0.25">
      <c r="B1309" s="127"/>
      <c r="D1309" s="234"/>
      <c r="E1309" s="234"/>
      <c r="V1309" s="262"/>
      <c r="W1309" s="254"/>
      <c r="X1309" s="254"/>
      <c r="Y1309" s="154"/>
      <c r="Z1309" s="6"/>
      <c r="AA1309" s="6"/>
      <c r="AB1309" s="6"/>
      <c r="AC1309" s="6"/>
      <c r="AD1309" s="6"/>
      <c r="AE1309" s="75"/>
      <c r="AF1309" s="45"/>
    </row>
    <row r="1310" spans="2:32" customFormat="1" x14ac:dyDescent="0.25">
      <c r="B1310" s="127"/>
      <c r="D1310" s="234"/>
      <c r="E1310" s="234"/>
      <c r="V1310" s="262"/>
      <c r="W1310" s="254"/>
      <c r="X1310" s="254"/>
      <c r="Y1310" s="154"/>
      <c r="Z1310" s="6"/>
      <c r="AA1310" s="6"/>
      <c r="AB1310" s="6"/>
      <c r="AC1310" s="6"/>
      <c r="AD1310" s="6"/>
      <c r="AE1310" s="75"/>
      <c r="AF1310" s="45"/>
    </row>
    <row r="1311" spans="2:32" customFormat="1" x14ac:dyDescent="0.25">
      <c r="B1311" s="127"/>
      <c r="D1311" s="234"/>
      <c r="E1311" s="234"/>
      <c r="V1311" s="262"/>
      <c r="W1311" s="254"/>
      <c r="X1311" s="254"/>
      <c r="Y1311" s="154"/>
      <c r="Z1311" s="6"/>
      <c r="AA1311" s="6"/>
      <c r="AB1311" s="6"/>
      <c r="AC1311" s="6"/>
      <c r="AD1311" s="6"/>
      <c r="AE1311" s="75"/>
      <c r="AF1311" s="45"/>
    </row>
    <row r="1312" spans="2:32" customFormat="1" x14ac:dyDescent="0.25">
      <c r="B1312" s="127"/>
      <c r="D1312" s="234"/>
      <c r="E1312" s="234"/>
      <c r="V1312" s="262"/>
      <c r="W1312" s="254"/>
      <c r="X1312" s="254"/>
      <c r="Y1312" s="154"/>
      <c r="Z1312" s="6"/>
      <c r="AA1312" s="6"/>
      <c r="AB1312" s="6"/>
      <c r="AC1312" s="6"/>
      <c r="AD1312" s="6"/>
      <c r="AE1312" s="75"/>
      <c r="AF1312" s="45"/>
    </row>
    <row r="1313" spans="2:32" customFormat="1" x14ac:dyDescent="0.25">
      <c r="B1313" s="127"/>
      <c r="D1313" s="234"/>
      <c r="E1313" s="234"/>
      <c r="V1313" s="262"/>
      <c r="W1313" s="254"/>
      <c r="X1313" s="254"/>
      <c r="Y1313" s="154"/>
      <c r="Z1313" s="6"/>
      <c r="AA1313" s="6"/>
      <c r="AB1313" s="6"/>
      <c r="AC1313" s="6"/>
      <c r="AD1313" s="6"/>
      <c r="AE1313" s="75"/>
      <c r="AF1313" s="45"/>
    </row>
    <row r="1314" spans="2:32" customFormat="1" x14ac:dyDescent="0.25">
      <c r="B1314" s="127"/>
      <c r="D1314" s="234"/>
      <c r="E1314" s="234"/>
      <c r="V1314" s="262"/>
      <c r="W1314" s="254"/>
      <c r="X1314" s="254"/>
      <c r="Y1314" s="154"/>
      <c r="Z1314" s="6"/>
      <c r="AA1314" s="6"/>
      <c r="AB1314" s="6"/>
      <c r="AC1314" s="6"/>
      <c r="AD1314" s="6"/>
      <c r="AE1314" s="75"/>
      <c r="AF1314" s="45"/>
    </row>
    <row r="1315" spans="2:32" customFormat="1" x14ac:dyDescent="0.25">
      <c r="B1315" s="127"/>
      <c r="D1315" s="234"/>
      <c r="E1315" s="234"/>
      <c r="V1315" s="262"/>
      <c r="W1315" s="254"/>
      <c r="X1315" s="254"/>
      <c r="Y1315" s="154"/>
      <c r="Z1315" s="6"/>
      <c r="AA1315" s="6"/>
      <c r="AB1315" s="6"/>
      <c r="AC1315" s="6"/>
      <c r="AD1315" s="6"/>
      <c r="AE1315" s="75"/>
      <c r="AF1315" s="45"/>
    </row>
    <row r="1316" spans="2:32" customFormat="1" x14ac:dyDescent="0.25">
      <c r="B1316" s="127"/>
      <c r="D1316" s="234"/>
      <c r="E1316" s="234"/>
      <c r="V1316" s="262"/>
      <c r="W1316" s="254"/>
      <c r="X1316" s="254"/>
      <c r="Y1316" s="154"/>
      <c r="Z1316" s="6"/>
      <c r="AA1316" s="6"/>
      <c r="AB1316" s="6"/>
      <c r="AC1316" s="6"/>
      <c r="AD1316" s="6"/>
      <c r="AE1316" s="75"/>
      <c r="AF1316" s="45"/>
    </row>
    <row r="1317" spans="2:32" customFormat="1" x14ac:dyDescent="0.25">
      <c r="B1317" s="127"/>
      <c r="D1317" s="234"/>
      <c r="E1317" s="234"/>
      <c r="V1317" s="262"/>
      <c r="W1317" s="254"/>
      <c r="X1317" s="254"/>
      <c r="Y1317" s="154"/>
      <c r="Z1317" s="6"/>
      <c r="AA1317" s="6"/>
      <c r="AB1317" s="6"/>
      <c r="AC1317" s="6"/>
      <c r="AD1317" s="6"/>
      <c r="AE1317" s="75"/>
      <c r="AF1317" s="45"/>
    </row>
    <row r="1318" spans="2:32" customFormat="1" x14ac:dyDescent="0.25">
      <c r="B1318" s="127"/>
      <c r="D1318" s="234"/>
      <c r="E1318" s="234"/>
      <c r="V1318" s="262"/>
      <c r="W1318" s="254"/>
      <c r="X1318" s="254"/>
      <c r="Y1318" s="154"/>
      <c r="Z1318" s="6"/>
      <c r="AA1318" s="6"/>
      <c r="AB1318" s="6"/>
      <c r="AC1318" s="6"/>
      <c r="AD1318" s="6"/>
      <c r="AE1318" s="75"/>
      <c r="AF1318" s="45"/>
    </row>
    <row r="1319" spans="2:32" customFormat="1" x14ac:dyDescent="0.25">
      <c r="B1319" s="127"/>
      <c r="D1319" s="234"/>
      <c r="E1319" s="234"/>
      <c r="V1319" s="262"/>
      <c r="W1319" s="254"/>
      <c r="X1319" s="254"/>
      <c r="Y1319" s="154"/>
      <c r="Z1319" s="6"/>
      <c r="AA1319" s="6"/>
      <c r="AB1319" s="6"/>
      <c r="AC1319" s="6"/>
      <c r="AD1319" s="6"/>
      <c r="AE1319" s="75"/>
      <c r="AF1319" s="45"/>
    </row>
    <row r="1320" spans="2:32" customFormat="1" x14ac:dyDescent="0.25">
      <c r="B1320" s="127"/>
      <c r="D1320" s="234"/>
      <c r="E1320" s="234"/>
      <c r="V1320" s="262"/>
      <c r="W1320" s="254"/>
      <c r="X1320" s="254"/>
      <c r="Y1320" s="154"/>
      <c r="Z1320" s="6"/>
      <c r="AA1320" s="6"/>
      <c r="AB1320" s="6"/>
      <c r="AC1320" s="6"/>
      <c r="AD1320" s="6"/>
      <c r="AE1320" s="75"/>
      <c r="AF1320" s="45"/>
    </row>
    <row r="1321" spans="2:32" customFormat="1" x14ac:dyDescent="0.25">
      <c r="B1321" s="127"/>
      <c r="D1321" s="234"/>
      <c r="E1321" s="234"/>
      <c r="V1321" s="262"/>
      <c r="W1321" s="254"/>
      <c r="X1321" s="254"/>
      <c r="Y1321" s="154"/>
      <c r="Z1321" s="6"/>
      <c r="AA1321" s="6"/>
      <c r="AB1321" s="6"/>
      <c r="AC1321" s="6"/>
      <c r="AD1321" s="6"/>
      <c r="AE1321" s="75"/>
      <c r="AF1321" s="45"/>
    </row>
    <row r="1322" spans="2:32" customFormat="1" x14ac:dyDescent="0.25">
      <c r="B1322" s="127"/>
      <c r="D1322" s="234"/>
      <c r="E1322" s="234"/>
      <c r="V1322" s="262"/>
      <c r="W1322" s="254"/>
      <c r="X1322" s="254"/>
      <c r="Y1322" s="154"/>
      <c r="Z1322" s="6"/>
      <c r="AA1322" s="6"/>
      <c r="AB1322" s="6"/>
      <c r="AC1322" s="6"/>
      <c r="AD1322" s="6"/>
      <c r="AE1322" s="75"/>
      <c r="AF1322" s="45"/>
    </row>
    <row r="1323" spans="2:32" customFormat="1" x14ac:dyDescent="0.25">
      <c r="B1323" s="127"/>
      <c r="D1323" s="234"/>
      <c r="E1323" s="234"/>
      <c r="V1323" s="262"/>
      <c r="W1323" s="254"/>
      <c r="X1323" s="254"/>
      <c r="Y1323" s="154"/>
      <c r="Z1323" s="6"/>
      <c r="AA1323" s="6"/>
      <c r="AB1323" s="6"/>
      <c r="AC1323" s="6"/>
      <c r="AD1323" s="6"/>
      <c r="AE1323" s="75"/>
      <c r="AF1323" s="45"/>
    </row>
    <row r="1324" spans="2:32" customFormat="1" x14ac:dyDescent="0.25">
      <c r="B1324" s="127"/>
      <c r="D1324" s="234"/>
      <c r="E1324" s="234"/>
      <c r="V1324" s="262"/>
      <c r="W1324" s="254"/>
      <c r="X1324" s="254"/>
      <c r="Y1324" s="154"/>
      <c r="Z1324" s="6"/>
      <c r="AA1324" s="6"/>
      <c r="AB1324" s="6"/>
      <c r="AC1324" s="6"/>
      <c r="AD1324" s="6"/>
      <c r="AE1324" s="75"/>
      <c r="AF1324" s="45"/>
    </row>
    <row r="1325" spans="2:32" customFormat="1" x14ac:dyDescent="0.25">
      <c r="B1325" s="127"/>
      <c r="D1325" s="234"/>
      <c r="E1325" s="234"/>
      <c r="V1325" s="262"/>
      <c r="W1325" s="254"/>
      <c r="X1325" s="254"/>
      <c r="Y1325" s="154"/>
      <c r="Z1325" s="6"/>
      <c r="AA1325" s="6"/>
      <c r="AB1325" s="6"/>
      <c r="AC1325" s="6"/>
      <c r="AD1325" s="6"/>
      <c r="AE1325" s="75"/>
      <c r="AF1325" s="45"/>
    </row>
    <row r="1326" spans="2:32" customFormat="1" x14ac:dyDescent="0.25">
      <c r="B1326" s="127"/>
      <c r="D1326" s="234"/>
      <c r="E1326" s="234"/>
      <c r="V1326" s="262"/>
      <c r="W1326" s="254"/>
      <c r="X1326" s="254"/>
      <c r="Y1326" s="154"/>
      <c r="Z1326" s="6"/>
      <c r="AA1326" s="6"/>
      <c r="AB1326" s="6"/>
      <c r="AC1326" s="6"/>
      <c r="AD1326" s="6"/>
      <c r="AE1326" s="75"/>
      <c r="AF1326" s="45"/>
    </row>
    <row r="1327" spans="2:32" customFormat="1" x14ac:dyDescent="0.25">
      <c r="B1327" s="127"/>
      <c r="D1327" s="234"/>
      <c r="E1327" s="234"/>
      <c r="V1327" s="262"/>
      <c r="W1327" s="254"/>
      <c r="X1327" s="254"/>
      <c r="Y1327" s="154"/>
      <c r="Z1327" s="6"/>
      <c r="AA1327" s="6"/>
      <c r="AB1327" s="6"/>
      <c r="AC1327" s="6"/>
      <c r="AD1327" s="6"/>
      <c r="AE1327" s="75"/>
      <c r="AF1327" s="45"/>
    </row>
    <row r="1328" spans="2:32" customFormat="1" x14ac:dyDescent="0.25">
      <c r="B1328" s="127"/>
      <c r="D1328" s="234"/>
      <c r="E1328" s="234"/>
      <c r="V1328" s="262"/>
      <c r="W1328" s="254"/>
      <c r="X1328" s="254"/>
      <c r="Y1328" s="154"/>
      <c r="Z1328" s="6"/>
      <c r="AA1328" s="6"/>
      <c r="AB1328" s="6"/>
      <c r="AC1328" s="6"/>
      <c r="AD1328" s="6"/>
      <c r="AE1328" s="75"/>
      <c r="AF1328" s="45"/>
    </row>
    <row r="1329" spans="2:32" customFormat="1" x14ac:dyDescent="0.25">
      <c r="B1329" s="127"/>
      <c r="D1329" s="234"/>
      <c r="E1329" s="234"/>
      <c r="V1329" s="262"/>
      <c r="W1329" s="254"/>
      <c r="X1329" s="254"/>
      <c r="Y1329" s="154"/>
      <c r="Z1329" s="6"/>
      <c r="AA1329" s="6"/>
      <c r="AB1329" s="6"/>
      <c r="AC1329" s="6"/>
      <c r="AD1329" s="6"/>
      <c r="AE1329" s="75"/>
      <c r="AF1329" s="45"/>
    </row>
    <row r="1330" spans="2:32" customFormat="1" x14ac:dyDescent="0.25">
      <c r="B1330" s="127"/>
      <c r="D1330" s="234"/>
      <c r="E1330" s="234"/>
      <c r="V1330" s="262"/>
      <c r="W1330" s="254"/>
      <c r="X1330" s="254"/>
      <c r="Y1330" s="154"/>
      <c r="Z1330" s="6"/>
      <c r="AA1330" s="6"/>
      <c r="AB1330" s="6"/>
      <c r="AC1330" s="6"/>
      <c r="AD1330" s="6"/>
      <c r="AE1330" s="75"/>
      <c r="AF1330" s="45"/>
    </row>
    <row r="1331" spans="2:32" customFormat="1" x14ac:dyDescent="0.25">
      <c r="B1331" s="127"/>
      <c r="D1331" s="234"/>
      <c r="E1331" s="234"/>
      <c r="V1331" s="262"/>
      <c r="W1331" s="254"/>
      <c r="X1331" s="254"/>
      <c r="Y1331" s="154"/>
      <c r="Z1331" s="6"/>
      <c r="AA1331" s="6"/>
      <c r="AB1331" s="6"/>
      <c r="AC1331" s="6"/>
      <c r="AD1331" s="6"/>
      <c r="AE1331" s="75"/>
      <c r="AF1331" s="45"/>
    </row>
    <row r="1332" spans="2:32" customFormat="1" x14ac:dyDescent="0.25">
      <c r="B1332" s="127"/>
      <c r="D1332" s="234"/>
      <c r="E1332" s="234"/>
      <c r="V1332" s="262"/>
      <c r="W1332" s="254"/>
      <c r="X1332" s="254"/>
      <c r="Y1332" s="154"/>
      <c r="Z1332" s="6"/>
      <c r="AA1332" s="6"/>
      <c r="AB1332" s="6"/>
      <c r="AC1332" s="6"/>
      <c r="AD1332" s="6"/>
      <c r="AE1332" s="75"/>
      <c r="AF1332" s="45"/>
    </row>
    <row r="1333" spans="2:32" customFormat="1" x14ac:dyDescent="0.25">
      <c r="B1333" s="127"/>
      <c r="D1333" s="234"/>
      <c r="E1333" s="234"/>
      <c r="V1333" s="262"/>
      <c r="W1333" s="254"/>
      <c r="X1333" s="254"/>
      <c r="Y1333" s="154"/>
      <c r="Z1333" s="6"/>
      <c r="AA1333" s="6"/>
      <c r="AB1333" s="6"/>
      <c r="AC1333" s="6"/>
      <c r="AD1333" s="6"/>
      <c r="AE1333" s="75"/>
      <c r="AF1333" s="45"/>
    </row>
    <row r="1334" spans="2:32" customFormat="1" x14ac:dyDescent="0.25">
      <c r="B1334" s="127"/>
      <c r="D1334" s="234"/>
      <c r="E1334" s="234"/>
      <c r="V1334" s="262"/>
      <c r="W1334" s="254"/>
      <c r="X1334" s="254"/>
      <c r="Y1334" s="154"/>
      <c r="Z1334" s="6"/>
      <c r="AA1334" s="6"/>
      <c r="AB1334" s="6"/>
      <c r="AC1334" s="6"/>
      <c r="AD1334" s="6"/>
      <c r="AE1334" s="75"/>
      <c r="AF1334" s="45"/>
    </row>
    <row r="1335" spans="2:32" customFormat="1" x14ac:dyDescent="0.25">
      <c r="B1335" s="127"/>
      <c r="D1335" s="234"/>
      <c r="E1335" s="234"/>
      <c r="V1335" s="262"/>
      <c r="W1335" s="254"/>
      <c r="X1335" s="254"/>
      <c r="Y1335" s="154"/>
      <c r="Z1335" s="6"/>
      <c r="AA1335" s="6"/>
      <c r="AB1335" s="6"/>
      <c r="AC1335" s="6"/>
      <c r="AD1335" s="6"/>
      <c r="AE1335" s="75"/>
      <c r="AF1335" s="45"/>
    </row>
    <row r="1336" spans="2:32" customFormat="1" x14ac:dyDescent="0.25">
      <c r="B1336" s="127"/>
      <c r="D1336" s="234"/>
      <c r="E1336" s="234"/>
      <c r="V1336" s="262"/>
      <c r="W1336" s="254"/>
      <c r="X1336" s="254"/>
      <c r="Y1336" s="154"/>
      <c r="Z1336" s="6"/>
      <c r="AA1336" s="6"/>
      <c r="AB1336" s="6"/>
      <c r="AC1336" s="6"/>
      <c r="AD1336" s="6"/>
      <c r="AE1336" s="75"/>
      <c r="AF1336" s="45"/>
    </row>
    <row r="1337" spans="2:32" customFormat="1" x14ac:dyDescent="0.25">
      <c r="B1337" s="127"/>
      <c r="D1337" s="234"/>
      <c r="E1337" s="234"/>
      <c r="V1337" s="262"/>
      <c r="W1337" s="254"/>
      <c r="X1337" s="254"/>
      <c r="Y1337" s="154"/>
      <c r="Z1337" s="6"/>
      <c r="AA1337" s="6"/>
      <c r="AB1337" s="6"/>
      <c r="AC1337" s="6"/>
      <c r="AD1337" s="6"/>
      <c r="AE1337" s="75"/>
      <c r="AF1337" s="45"/>
    </row>
    <row r="1338" spans="2:32" customFormat="1" x14ac:dyDescent="0.25">
      <c r="B1338" s="127"/>
      <c r="D1338" s="234"/>
      <c r="E1338" s="234"/>
      <c r="V1338" s="262"/>
      <c r="W1338" s="254"/>
      <c r="X1338" s="254"/>
      <c r="Y1338" s="154"/>
      <c r="Z1338" s="6"/>
      <c r="AA1338" s="6"/>
      <c r="AB1338" s="6"/>
      <c r="AC1338" s="6"/>
      <c r="AD1338" s="6"/>
      <c r="AE1338" s="75"/>
      <c r="AF1338" s="45"/>
    </row>
    <row r="1339" spans="2:32" customFormat="1" x14ac:dyDescent="0.25">
      <c r="B1339" s="127"/>
      <c r="D1339" s="234"/>
      <c r="E1339" s="234"/>
      <c r="V1339" s="262"/>
      <c r="W1339" s="254"/>
      <c r="X1339" s="254"/>
      <c r="Y1339" s="154"/>
      <c r="Z1339" s="6"/>
      <c r="AA1339" s="6"/>
      <c r="AB1339" s="6"/>
      <c r="AC1339" s="6"/>
      <c r="AD1339" s="6"/>
      <c r="AE1339" s="75"/>
      <c r="AF1339" s="45"/>
    </row>
    <row r="1340" spans="2:32" customFormat="1" x14ac:dyDescent="0.25">
      <c r="B1340" s="127"/>
      <c r="D1340" s="234"/>
      <c r="E1340" s="234"/>
      <c r="V1340" s="262"/>
      <c r="W1340" s="254"/>
      <c r="X1340" s="254"/>
      <c r="Y1340" s="154"/>
      <c r="Z1340" s="6"/>
      <c r="AA1340" s="6"/>
      <c r="AB1340" s="6"/>
      <c r="AC1340" s="6"/>
      <c r="AD1340" s="6"/>
      <c r="AE1340" s="75"/>
      <c r="AF1340" s="45"/>
    </row>
    <row r="1341" spans="2:32" customFormat="1" x14ac:dyDescent="0.25">
      <c r="B1341" s="127"/>
      <c r="D1341" s="234"/>
      <c r="E1341" s="234"/>
      <c r="V1341" s="262"/>
      <c r="W1341" s="254"/>
      <c r="X1341" s="254"/>
      <c r="Y1341" s="154"/>
      <c r="Z1341" s="6"/>
      <c r="AA1341" s="6"/>
      <c r="AB1341" s="6"/>
      <c r="AC1341" s="6"/>
      <c r="AD1341" s="6"/>
      <c r="AE1341" s="75"/>
      <c r="AF1341" s="45"/>
    </row>
    <row r="1342" spans="2:32" customFormat="1" x14ac:dyDescent="0.25">
      <c r="B1342" s="127"/>
      <c r="D1342" s="234"/>
      <c r="E1342" s="234"/>
      <c r="V1342" s="262"/>
      <c r="W1342" s="254"/>
      <c r="X1342" s="254"/>
      <c r="Y1342" s="154"/>
      <c r="Z1342" s="6"/>
      <c r="AA1342" s="6"/>
      <c r="AB1342" s="6"/>
      <c r="AC1342" s="6"/>
      <c r="AD1342" s="6"/>
      <c r="AE1342" s="75"/>
      <c r="AF1342" s="45"/>
    </row>
    <row r="1343" spans="2:32" customFormat="1" x14ac:dyDescent="0.25">
      <c r="B1343" s="127"/>
      <c r="D1343" s="234"/>
      <c r="E1343" s="234"/>
      <c r="V1343" s="262"/>
      <c r="W1343" s="254"/>
      <c r="X1343" s="254"/>
      <c r="Y1343" s="154"/>
      <c r="Z1343" s="6"/>
      <c r="AA1343" s="6"/>
      <c r="AB1343" s="6"/>
      <c r="AC1343" s="6"/>
      <c r="AD1343" s="6"/>
      <c r="AE1343" s="75"/>
      <c r="AF1343" s="45"/>
    </row>
    <row r="1344" spans="2:32" customFormat="1" x14ac:dyDescent="0.25">
      <c r="B1344" s="127"/>
      <c r="D1344" s="234"/>
      <c r="E1344" s="234"/>
      <c r="V1344" s="262"/>
      <c r="W1344" s="254"/>
      <c r="X1344" s="254"/>
      <c r="Y1344" s="154"/>
      <c r="Z1344" s="6"/>
      <c r="AA1344" s="6"/>
      <c r="AB1344" s="6"/>
      <c r="AC1344" s="6"/>
      <c r="AD1344" s="6"/>
      <c r="AE1344" s="75"/>
      <c r="AF1344" s="45"/>
    </row>
    <row r="1345" spans="2:32" customFormat="1" x14ac:dyDescent="0.25">
      <c r="B1345" s="127"/>
      <c r="D1345" s="234"/>
      <c r="E1345" s="234"/>
      <c r="V1345" s="262"/>
      <c r="W1345" s="254"/>
      <c r="X1345" s="254"/>
      <c r="Y1345" s="154"/>
      <c r="Z1345" s="6"/>
      <c r="AA1345" s="6"/>
      <c r="AB1345" s="6"/>
      <c r="AC1345" s="6"/>
      <c r="AD1345" s="6"/>
      <c r="AE1345" s="75"/>
      <c r="AF1345" s="45"/>
    </row>
    <row r="1346" spans="2:32" customFormat="1" x14ac:dyDescent="0.25">
      <c r="B1346" s="127"/>
      <c r="D1346" s="234"/>
      <c r="E1346" s="234"/>
      <c r="V1346" s="262"/>
      <c r="W1346" s="254"/>
      <c r="X1346" s="254"/>
      <c r="Y1346" s="154"/>
      <c r="Z1346" s="6"/>
      <c r="AA1346" s="6"/>
      <c r="AB1346" s="6"/>
      <c r="AC1346" s="6"/>
      <c r="AD1346" s="6"/>
      <c r="AE1346" s="75"/>
      <c r="AF1346" s="45"/>
    </row>
    <row r="1347" spans="2:32" customFormat="1" x14ac:dyDescent="0.25">
      <c r="B1347" s="127"/>
      <c r="D1347" s="234"/>
      <c r="E1347" s="234"/>
      <c r="V1347" s="262"/>
      <c r="W1347" s="254"/>
      <c r="X1347" s="254"/>
      <c r="Y1347" s="154"/>
      <c r="Z1347" s="6"/>
      <c r="AA1347" s="6"/>
      <c r="AB1347" s="6"/>
      <c r="AC1347" s="6"/>
      <c r="AD1347" s="6"/>
      <c r="AE1347" s="75"/>
      <c r="AF1347" s="45"/>
    </row>
    <row r="1348" spans="2:32" customFormat="1" x14ac:dyDescent="0.25">
      <c r="B1348" s="127"/>
      <c r="D1348" s="234"/>
      <c r="E1348" s="234"/>
      <c r="V1348" s="262"/>
      <c r="W1348" s="254"/>
      <c r="X1348" s="254"/>
      <c r="Y1348" s="154"/>
      <c r="Z1348" s="6"/>
      <c r="AA1348" s="6"/>
      <c r="AB1348" s="6"/>
      <c r="AC1348" s="6"/>
      <c r="AD1348" s="6"/>
      <c r="AE1348" s="75"/>
      <c r="AF1348" s="45"/>
    </row>
    <row r="1349" spans="2:32" customFormat="1" x14ac:dyDescent="0.25">
      <c r="B1349" s="127"/>
      <c r="D1349" s="234"/>
      <c r="E1349" s="234"/>
      <c r="V1349" s="262"/>
      <c r="W1349" s="254"/>
      <c r="X1349" s="254"/>
      <c r="Y1349" s="154"/>
      <c r="Z1349" s="6"/>
      <c r="AA1349" s="6"/>
      <c r="AB1349" s="6"/>
      <c r="AC1349" s="6"/>
      <c r="AD1349" s="6"/>
      <c r="AE1349" s="75"/>
      <c r="AF1349" s="45"/>
    </row>
    <row r="1350" spans="2:32" customFormat="1" x14ac:dyDescent="0.25">
      <c r="B1350" s="127"/>
      <c r="D1350" s="234"/>
      <c r="E1350" s="234"/>
      <c r="V1350" s="262"/>
      <c r="W1350" s="254"/>
      <c r="X1350" s="254"/>
      <c r="Y1350" s="154"/>
      <c r="Z1350" s="6"/>
      <c r="AA1350" s="6"/>
      <c r="AB1350" s="6"/>
      <c r="AC1350" s="6"/>
      <c r="AD1350" s="6"/>
      <c r="AE1350" s="75"/>
      <c r="AF1350" s="45"/>
    </row>
    <row r="1351" spans="2:32" customFormat="1" x14ac:dyDescent="0.25">
      <c r="B1351" s="127"/>
      <c r="D1351" s="234"/>
      <c r="E1351" s="234"/>
      <c r="V1351" s="262"/>
      <c r="W1351" s="254"/>
      <c r="X1351" s="254"/>
      <c r="Y1351" s="154"/>
      <c r="Z1351" s="6"/>
      <c r="AA1351" s="6"/>
      <c r="AB1351" s="6"/>
      <c r="AC1351" s="6"/>
      <c r="AD1351" s="6"/>
      <c r="AE1351" s="75"/>
      <c r="AF1351" s="45"/>
    </row>
    <row r="1352" spans="2:32" customFormat="1" x14ac:dyDescent="0.25">
      <c r="B1352" s="127"/>
      <c r="D1352" s="234"/>
      <c r="E1352" s="234"/>
      <c r="V1352" s="262"/>
      <c r="W1352" s="254"/>
      <c r="X1352" s="254"/>
      <c r="Y1352" s="154"/>
      <c r="Z1352" s="6"/>
      <c r="AA1352" s="6"/>
      <c r="AB1352" s="6"/>
      <c r="AC1352" s="6"/>
      <c r="AD1352" s="6"/>
      <c r="AE1352" s="75"/>
      <c r="AF1352" s="45"/>
    </row>
    <row r="1353" spans="2:32" customFormat="1" x14ac:dyDescent="0.25">
      <c r="B1353" s="127"/>
      <c r="D1353" s="234"/>
      <c r="E1353" s="234"/>
      <c r="V1353" s="262"/>
      <c r="W1353" s="254"/>
      <c r="X1353" s="254"/>
      <c r="Y1353" s="154"/>
      <c r="Z1353" s="6"/>
      <c r="AA1353" s="6"/>
      <c r="AB1353" s="6"/>
      <c r="AC1353" s="6"/>
      <c r="AD1353" s="6"/>
      <c r="AE1353" s="75"/>
      <c r="AF1353" s="45"/>
    </row>
    <row r="1354" spans="2:32" customFormat="1" x14ac:dyDescent="0.25">
      <c r="B1354" s="127"/>
      <c r="D1354" s="234"/>
      <c r="E1354" s="234"/>
      <c r="V1354" s="262"/>
      <c r="W1354" s="254"/>
      <c r="X1354" s="254"/>
      <c r="Y1354" s="154"/>
      <c r="Z1354" s="6"/>
      <c r="AA1354" s="6"/>
      <c r="AB1354" s="6"/>
      <c r="AC1354" s="6"/>
      <c r="AD1354" s="6"/>
      <c r="AE1354" s="75"/>
      <c r="AF1354" s="45"/>
    </row>
    <row r="1355" spans="2:32" customFormat="1" x14ac:dyDescent="0.25">
      <c r="B1355" s="127"/>
      <c r="D1355" s="234"/>
      <c r="E1355" s="234"/>
      <c r="V1355" s="262"/>
      <c r="W1355" s="254"/>
      <c r="X1355" s="254"/>
      <c r="Y1355" s="154"/>
      <c r="Z1355" s="6"/>
      <c r="AA1355" s="6"/>
      <c r="AB1355" s="6"/>
      <c r="AC1355" s="6"/>
      <c r="AD1355" s="6"/>
      <c r="AE1355" s="75"/>
      <c r="AF1355" s="45"/>
    </row>
    <row r="1356" spans="2:32" customFormat="1" x14ac:dyDescent="0.25">
      <c r="B1356" s="127"/>
      <c r="D1356" s="234"/>
      <c r="E1356" s="234"/>
      <c r="V1356" s="262"/>
      <c r="W1356" s="254"/>
      <c r="X1356" s="254"/>
      <c r="Y1356" s="154"/>
      <c r="Z1356" s="6"/>
      <c r="AA1356" s="6"/>
      <c r="AB1356" s="6"/>
      <c r="AC1356" s="6"/>
      <c r="AD1356" s="6"/>
      <c r="AE1356" s="75"/>
      <c r="AF1356" s="45"/>
    </row>
    <row r="1357" spans="2:32" customFormat="1" x14ac:dyDescent="0.25">
      <c r="B1357" s="127"/>
      <c r="D1357" s="234"/>
      <c r="E1357" s="234"/>
      <c r="V1357" s="262"/>
      <c r="W1357" s="254"/>
      <c r="X1357" s="254"/>
      <c r="Y1357" s="154"/>
      <c r="Z1357" s="6"/>
      <c r="AA1357" s="6"/>
      <c r="AB1357" s="6"/>
      <c r="AC1357" s="6"/>
      <c r="AD1357" s="6"/>
      <c r="AE1357" s="75"/>
      <c r="AF1357" s="45"/>
    </row>
    <row r="1358" spans="2:32" customFormat="1" x14ac:dyDescent="0.25">
      <c r="B1358" s="127"/>
      <c r="D1358" s="234"/>
      <c r="E1358" s="234"/>
      <c r="V1358" s="262"/>
      <c r="W1358" s="254"/>
      <c r="X1358" s="254"/>
      <c r="Y1358" s="154"/>
      <c r="Z1358" s="6"/>
      <c r="AA1358" s="6"/>
      <c r="AB1358" s="6"/>
      <c r="AC1358" s="6"/>
      <c r="AD1358" s="6"/>
      <c r="AE1358" s="75"/>
      <c r="AF1358" s="45"/>
    </row>
    <row r="1359" spans="2:32" customFormat="1" x14ac:dyDescent="0.25">
      <c r="B1359" s="127"/>
      <c r="D1359" s="234"/>
      <c r="E1359" s="234"/>
      <c r="V1359" s="262"/>
      <c r="W1359" s="254"/>
      <c r="X1359" s="254"/>
      <c r="Y1359" s="154"/>
      <c r="Z1359" s="6"/>
      <c r="AA1359" s="6"/>
      <c r="AB1359" s="6"/>
      <c r="AC1359" s="6"/>
      <c r="AD1359" s="6"/>
      <c r="AE1359" s="75"/>
      <c r="AF1359" s="45"/>
    </row>
    <row r="1360" spans="2:32" customFormat="1" x14ac:dyDescent="0.25">
      <c r="B1360" s="127"/>
      <c r="D1360" s="234"/>
      <c r="E1360" s="234"/>
      <c r="V1360" s="262"/>
      <c r="W1360" s="254"/>
      <c r="X1360" s="254"/>
      <c r="Y1360" s="154"/>
      <c r="Z1360" s="6"/>
      <c r="AA1360" s="6"/>
      <c r="AB1360" s="6"/>
      <c r="AC1360" s="6"/>
      <c r="AD1360" s="6"/>
      <c r="AE1360" s="75"/>
      <c r="AF1360" s="45"/>
    </row>
    <row r="1361" spans="2:32" customFormat="1" x14ac:dyDescent="0.25">
      <c r="B1361" s="127"/>
      <c r="D1361" s="234"/>
      <c r="E1361" s="234"/>
      <c r="V1361" s="262"/>
      <c r="W1361" s="254"/>
      <c r="X1361" s="254"/>
      <c r="Y1361" s="154"/>
      <c r="Z1361" s="6"/>
      <c r="AA1361" s="6"/>
      <c r="AB1361" s="6"/>
      <c r="AC1361" s="6"/>
      <c r="AD1361" s="6"/>
      <c r="AE1361" s="75"/>
      <c r="AF1361" s="45"/>
    </row>
    <row r="1362" spans="2:32" customFormat="1" x14ac:dyDescent="0.25">
      <c r="B1362" s="127"/>
      <c r="D1362" s="234"/>
      <c r="E1362" s="234"/>
      <c r="V1362" s="262"/>
      <c r="W1362" s="254"/>
      <c r="X1362" s="254"/>
      <c r="Y1362" s="154"/>
      <c r="Z1362" s="6"/>
      <c r="AA1362" s="6"/>
      <c r="AB1362" s="6"/>
      <c r="AC1362" s="6"/>
      <c r="AD1362" s="6"/>
      <c r="AE1362" s="75"/>
      <c r="AF1362" s="45"/>
    </row>
    <row r="1363" spans="2:32" customFormat="1" x14ac:dyDescent="0.25">
      <c r="B1363" s="127"/>
      <c r="D1363" s="234"/>
      <c r="E1363" s="234"/>
      <c r="V1363" s="262"/>
      <c r="W1363" s="254"/>
      <c r="X1363" s="254"/>
      <c r="Y1363" s="154"/>
      <c r="Z1363" s="6"/>
      <c r="AA1363" s="6"/>
      <c r="AB1363" s="6"/>
      <c r="AC1363" s="6"/>
      <c r="AD1363" s="6"/>
      <c r="AE1363" s="75"/>
      <c r="AF1363" s="45"/>
    </row>
    <row r="1364" spans="2:32" customFormat="1" x14ac:dyDescent="0.25">
      <c r="B1364" s="127"/>
      <c r="D1364" s="234"/>
      <c r="E1364" s="234"/>
      <c r="V1364" s="262"/>
      <c r="W1364" s="254"/>
      <c r="X1364" s="254"/>
      <c r="Y1364" s="154"/>
      <c r="Z1364" s="6"/>
      <c r="AA1364" s="6"/>
      <c r="AB1364" s="6"/>
      <c r="AC1364" s="6"/>
      <c r="AD1364" s="6"/>
      <c r="AE1364" s="75"/>
      <c r="AF1364" s="45"/>
    </row>
    <row r="1365" spans="2:32" customFormat="1" x14ac:dyDescent="0.25">
      <c r="B1365" s="127"/>
      <c r="D1365" s="234"/>
      <c r="E1365" s="234"/>
      <c r="V1365" s="262"/>
      <c r="W1365" s="254"/>
      <c r="X1365" s="254"/>
      <c r="Y1365" s="154"/>
      <c r="Z1365" s="6"/>
      <c r="AA1365" s="6"/>
      <c r="AB1365" s="6"/>
      <c r="AC1365" s="6"/>
      <c r="AD1365" s="6"/>
      <c r="AE1365" s="75"/>
      <c r="AF1365" s="45"/>
    </row>
    <row r="1366" spans="2:32" customFormat="1" x14ac:dyDescent="0.25">
      <c r="B1366" s="127"/>
      <c r="D1366" s="234"/>
      <c r="E1366" s="234"/>
      <c r="V1366" s="262"/>
      <c r="W1366" s="254"/>
      <c r="X1366" s="254"/>
      <c r="Y1366" s="154"/>
      <c r="Z1366" s="6"/>
      <c r="AA1366" s="6"/>
      <c r="AB1366" s="6"/>
      <c r="AC1366" s="6"/>
      <c r="AD1366" s="6"/>
      <c r="AE1366" s="75"/>
      <c r="AF1366" s="45"/>
    </row>
    <row r="1367" spans="2:32" customFormat="1" x14ac:dyDescent="0.25">
      <c r="B1367" s="127"/>
      <c r="D1367" s="234"/>
      <c r="E1367" s="234"/>
      <c r="V1367" s="262"/>
      <c r="W1367" s="254"/>
      <c r="X1367" s="254"/>
      <c r="Y1367" s="154"/>
      <c r="Z1367" s="6"/>
      <c r="AA1367" s="6"/>
      <c r="AB1367" s="6"/>
      <c r="AC1367" s="6"/>
      <c r="AD1367" s="6"/>
      <c r="AE1367" s="75"/>
      <c r="AF1367" s="45"/>
    </row>
    <row r="1368" spans="2:32" customFormat="1" x14ac:dyDescent="0.25">
      <c r="B1368" s="127"/>
      <c r="D1368" s="234"/>
      <c r="E1368" s="234"/>
      <c r="V1368" s="262"/>
      <c r="W1368" s="254"/>
      <c r="X1368" s="254"/>
      <c r="Y1368" s="154"/>
      <c r="Z1368" s="6"/>
      <c r="AA1368" s="6"/>
      <c r="AB1368" s="6"/>
      <c r="AC1368" s="6"/>
      <c r="AD1368" s="6"/>
      <c r="AE1368" s="75"/>
      <c r="AF1368" s="45"/>
    </row>
    <row r="1369" spans="2:32" customFormat="1" x14ac:dyDescent="0.25">
      <c r="B1369" s="127"/>
      <c r="D1369" s="234"/>
      <c r="E1369" s="234"/>
      <c r="V1369" s="262"/>
      <c r="W1369" s="254"/>
      <c r="X1369" s="254"/>
      <c r="Y1369" s="154"/>
      <c r="Z1369" s="6"/>
      <c r="AA1369" s="6"/>
      <c r="AB1369" s="6"/>
      <c r="AC1369" s="6"/>
      <c r="AD1369" s="6"/>
      <c r="AE1369" s="75"/>
      <c r="AF1369" s="45"/>
    </row>
    <row r="1370" spans="2:32" customFormat="1" x14ac:dyDescent="0.25">
      <c r="B1370" s="127"/>
      <c r="D1370" s="234"/>
      <c r="E1370" s="234"/>
      <c r="V1370" s="262"/>
      <c r="W1370" s="254"/>
      <c r="X1370" s="254"/>
      <c r="Y1370" s="154"/>
      <c r="Z1370" s="6"/>
      <c r="AA1370" s="6"/>
      <c r="AB1370" s="6"/>
      <c r="AC1370" s="6"/>
      <c r="AD1370" s="6"/>
      <c r="AE1370" s="75"/>
      <c r="AF1370" s="45"/>
    </row>
    <row r="1371" spans="2:32" customFormat="1" x14ac:dyDescent="0.25">
      <c r="B1371" s="127"/>
      <c r="D1371" s="234"/>
      <c r="E1371" s="234"/>
      <c r="V1371" s="262"/>
      <c r="W1371" s="254"/>
      <c r="X1371" s="254"/>
      <c r="Y1371" s="154"/>
      <c r="Z1371" s="6"/>
      <c r="AA1371" s="6"/>
      <c r="AB1371" s="6"/>
      <c r="AC1371" s="6"/>
      <c r="AD1371" s="6"/>
      <c r="AE1371" s="75"/>
      <c r="AF1371" s="45"/>
    </row>
    <row r="1372" spans="2:32" customFormat="1" x14ac:dyDescent="0.25">
      <c r="B1372" s="127"/>
      <c r="D1372" s="234"/>
      <c r="E1372" s="234"/>
      <c r="V1372" s="262"/>
      <c r="W1372" s="254"/>
      <c r="X1372" s="254"/>
      <c r="Y1372" s="154"/>
      <c r="Z1372" s="6"/>
      <c r="AA1372" s="6"/>
      <c r="AB1372" s="6"/>
      <c r="AC1372" s="6"/>
      <c r="AD1372" s="6"/>
      <c r="AE1372" s="75"/>
      <c r="AF1372" s="45"/>
    </row>
    <row r="1373" spans="2:32" customFormat="1" x14ac:dyDescent="0.25">
      <c r="B1373" s="127"/>
      <c r="D1373" s="234"/>
      <c r="E1373" s="234"/>
      <c r="V1373" s="262"/>
      <c r="W1373" s="254"/>
      <c r="X1373" s="254"/>
      <c r="Y1373" s="154"/>
      <c r="Z1373" s="6"/>
      <c r="AA1373" s="6"/>
      <c r="AB1373" s="6"/>
      <c r="AC1373" s="6"/>
      <c r="AD1373" s="6"/>
      <c r="AE1373" s="75"/>
      <c r="AF1373" s="45"/>
    </row>
    <row r="1374" spans="2:32" customFormat="1" x14ac:dyDescent="0.25">
      <c r="B1374" s="127"/>
      <c r="D1374" s="234"/>
      <c r="E1374" s="234"/>
      <c r="V1374" s="262"/>
      <c r="W1374" s="254"/>
      <c r="X1374" s="254"/>
      <c r="Y1374" s="154"/>
      <c r="Z1374" s="6"/>
      <c r="AA1374" s="6"/>
      <c r="AB1374" s="6"/>
      <c r="AC1374" s="6"/>
      <c r="AD1374" s="6"/>
      <c r="AE1374" s="75"/>
      <c r="AF1374" s="45"/>
    </row>
    <row r="1375" spans="2:32" customFormat="1" x14ac:dyDescent="0.25">
      <c r="B1375" s="127"/>
      <c r="D1375" s="234"/>
      <c r="E1375" s="234"/>
      <c r="V1375" s="262"/>
      <c r="W1375" s="254"/>
      <c r="X1375" s="254"/>
      <c r="Y1375" s="154"/>
      <c r="Z1375" s="6"/>
      <c r="AA1375" s="6"/>
      <c r="AB1375" s="6"/>
      <c r="AC1375" s="6"/>
      <c r="AD1375" s="6"/>
      <c r="AE1375" s="75"/>
      <c r="AF1375" s="45"/>
    </row>
    <row r="1376" spans="2:32" customFormat="1" x14ac:dyDescent="0.25">
      <c r="B1376" s="127"/>
      <c r="D1376" s="234"/>
      <c r="E1376" s="234"/>
      <c r="V1376" s="262"/>
      <c r="W1376" s="254"/>
      <c r="X1376" s="254"/>
      <c r="Y1376" s="154"/>
      <c r="Z1376" s="6"/>
      <c r="AA1376" s="6"/>
      <c r="AB1376" s="6"/>
      <c r="AC1376" s="6"/>
      <c r="AD1376" s="6"/>
      <c r="AE1376" s="75"/>
      <c r="AF1376" s="45"/>
    </row>
    <row r="1377" spans="2:32" customFormat="1" x14ac:dyDescent="0.25">
      <c r="B1377" s="127"/>
      <c r="D1377" s="234"/>
      <c r="E1377" s="234"/>
      <c r="V1377" s="262"/>
      <c r="W1377" s="254"/>
      <c r="X1377" s="254"/>
      <c r="Y1377" s="154"/>
      <c r="Z1377" s="6"/>
      <c r="AA1377" s="6"/>
      <c r="AB1377" s="6"/>
      <c r="AC1377" s="6"/>
      <c r="AD1377" s="6"/>
      <c r="AE1377" s="75"/>
      <c r="AF1377" s="45"/>
    </row>
    <row r="1378" spans="2:32" customFormat="1" x14ac:dyDescent="0.25">
      <c r="B1378" s="127"/>
      <c r="D1378" s="234"/>
      <c r="E1378" s="234"/>
      <c r="V1378" s="262"/>
      <c r="W1378" s="254"/>
      <c r="X1378" s="254"/>
      <c r="Y1378" s="154"/>
      <c r="Z1378" s="6"/>
      <c r="AA1378" s="6"/>
      <c r="AB1378" s="6"/>
      <c r="AC1378" s="6"/>
      <c r="AD1378" s="6"/>
      <c r="AE1378" s="75"/>
      <c r="AF1378" s="45"/>
    </row>
    <row r="1379" spans="2:32" customFormat="1" x14ac:dyDescent="0.25">
      <c r="B1379" s="127"/>
      <c r="D1379" s="234"/>
      <c r="E1379" s="234"/>
      <c r="V1379" s="262"/>
      <c r="W1379" s="254"/>
      <c r="X1379" s="254"/>
      <c r="Y1379" s="154"/>
      <c r="Z1379" s="6"/>
      <c r="AA1379" s="6"/>
      <c r="AB1379" s="6"/>
      <c r="AC1379" s="6"/>
      <c r="AD1379" s="6"/>
      <c r="AE1379" s="75"/>
      <c r="AF1379" s="45"/>
    </row>
    <row r="1380" spans="2:32" customFormat="1" x14ac:dyDescent="0.25">
      <c r="B1380" s="127"/>
      <c r="D1380" s="234"/>
      <c r="E1380" s="234"/>
      <c r="V1380" s="262"/>
      <c r="W1380" s="254"/>
      <c r="X1380" s="254"/>
      <c r="Y1380" s="154"/>
      <c r="Z1380" s="6"/>
      <c r="AA1380" s="6"/>
      <c r="AB1380" s="6"/>
      <c r="AC1380" s="6"/>
      <c r="AD1380" s="6"/>
      <c r="AE1380" s="75"/>
      <c r="AF1380" s="45"/>
    </row>
    <row r="1381" spans="2:32" customFormat="1" x14ac:dyDescent="0.25">
      <c r="B1381" s="127"/>
      <c r="D1381" s="234"/>
      <c r="E1381" s="234"/>
      <c r="V1381" s="262"/>
      <c r="W1381" s="254"/>
      <c r="X1381" s="254"/>
      <c r="Y1381" s="154"/>
      <c r="Z1381" s="6"/>
      <c r="AA1381" s="6"/>
      <c r="AB1381" s="6"/>
      <c r="AC1381" s="6"/>
      <c r="AD1381" s="6"/>
      <c r="AE1381" s="75"/>
      <c r="AF1381" s="45"/>
    </row>
    <row r="1382" spans="2:32" customFormat="1" x14ac:dyDescent="0.25">
      <c r="B1382" s="127"/>
      <c r="D1382" s="234"/>
      <c r="E1382" s="234"/>
      <c r="V1382" s="262"/>
      <c r="W1382" s="254"/>
      <c r="X1382" s="254"/>
      <c r="Y1382" s="154"/>
      <c r="Z1382" s="6"/>
      <c r="AA1382" s="6"/>
      <c r="AB1382" s="6"/>
      <c r="AC1382" s="6"/>
      <c r="AD1382" s="6"/>
      <c r="AE1382" s="75"/>
      <c r="AF1382" s="45"/>
    </row>
    <row r="1383" spans="2:32" customFormat="1" x14ac:dyDescent="0.25">
      <c r="B1383" s="127"/>
      <c r="D1383" s="234"/>
      <c r="E1383" s="234"/>
      <c r="V1383" s="262"/>
      <c r="W1383" s="254"/>
      <c r="X1383" s="254"/>
      <c r="Y1383" s="154"/>
      <c r="Z1383" s="6"/>
      <c r="AA1383" s="6"/>
      <c r="AB1383" s="6"/>
      <c r="AC1383" s="6"/>
      <c r="AD1383" s="6"/>
      <c r="AE1383" s="75"/>
      <c r="AF1383" s="45"/>
    </row>
    <row r="1384" spans="2:32" customFormat="1" x14ac:dyDescent="0.25">
      <c r="B1384" s="127"/>
      <c r="D1384" s="234"/>
      <c r="E1384" s="234"/>
      <c r="V1384" s="262"/>
      <c r="W1384" s="254"/>
      <c r="X1384" s="254"/>
      <c r="Y1384" s="154"/>
      <c r="Z1384" s="6"/>
      <c r="AA1384" s="6"/>
      <c r="AB1384" s="6"/>
      <c r="AC1384" s="6"/>
      <c r="AD1384" s="6"/>
      <c r="AE1384" s="75"/>
      <c r="AF1384" s="45"/>
    </row>
    <row r="1385" spans="2:32" customFormat="1" x14ac:dyDescent="0.25">
      <c r="B1385" s="127"/>
      <c r="D1385" s="234"/>
      <c r="E1385" s="234"/>
      <c r="V1385" s="262"/>
      <c r="W1385" s="254"/>
      <c r="X1385" s="254"/>
      <c r="Y1385" s="154"/>
      <c r="Z1385" s="6"/>
      <c r="AA1385" s="6"/>
      <c r="AB1385" s="6"/>
      <c r="AC1385" s="6"/>
      <c r="AD1385" s="6"/>
      <c r="AE1385" s="75"/>
      <c r="AF1385" s="45"/>
    </row>
    <row r="1386" spans="2:32" customFormat="1" x14ac:dyDescent="0.25">
      <c r="B1386" s="127"/>
      <c r="D1386" s="234"/>
      <c r="E1386" s="234"/>
      <c r="V1386" s="262"/>
      <c r="W1386" s="254"/>
      <c r="X1386" s="254"/>
      <c r="Y1386" s="154"/>
      <c r="Z1386" s="6"/>
      <c r="AA1386" s="6"/>
      <c r="AB1386" s="6"/>
      <c r="AC1386" s="6"/>
      <c r="AD1386" s="6"/>
      <c r="AE1386" s="75"/>
      <c r="AF1386" s="45"/>
    </row>
    <row r="1387" spans="2:32" customFormat="1" x14ac:dyDescent="0.25">
      <c r="B1387" s="127"/>
      <c r="D1387" s="234"/>
      <c r="E1387" s="234"/>
      <c r="V1387" s="262"/>
      <c r="W1387" s="254"/>
      <c r="X1387" s="254"/>
      <c r="Y1387" s="154"/>
      <c r="Z1387" s="6"/>
      <c r="AA1387" s="6"/>
      <c r="AB1387" s="6"/>
      <c r="AC1387" s="6"/>
      <c r="AD1387" s="6"/>
      <c r="AE1387" s="75"/>
      <c r="AF1387" s="45"/>
    </row>
    <row r="1388" spans="2:32" customFormat="1" x14ac:dyDescent="0.25">
      <c r="B1388" s="127"/>
      <c r="D1388" s="234"/>
      <c r="E1388" s="234"/>
      <c r="V1388" s="262"/>
      <c r="W1388" s="254"/>
      <c r="X1388" s="254"/>
      <c r="Y1388" s="154"/>
      <c r="Z1388" s="6"/>
      <c r="AA1388" s="6"/>
      <c r="AB1388" s="6"/>
      <c r="AC1388" s="6"/>
      <c r="AD1388" s="6"/>
      <c r="AE1388" s="75"/>
      <c r="AF1388" s="45"/>
    </row>
    <row r="1389" spans="2:32" customFormat="1" x14ac:dyDescent="0.25">
      <c r="B1389" s="127"/>
      <c r="D1389" s="234"/>
      <c r="E1389" s="234"/>
      <c r="V1389" s="262"/>
      <c r="W1389" s="254"/>
      <c r="X1389" s="254"/>
      <c r="Y1389" s="154"/>
      <c r="Z1389" s="6"/>
      <c r="AA1389" s="6"/>
      <c r="AB1389" s="6"/>
      <c r="AC1389" s="6"/>
      <c r="AD1389" s="6"/>
      <c r="AE1389" s="75"/>
      <c r="AF1389" s="45"/>
    </row>
    <row r="1390" spans="2:32" customFormat="1" x14ac:dyDescent="0.25">
      <c r="B1390" s="127"/>
      <c r="D1390" s="234"/>
      <c r="E1390" s="234"/>
      <c r="V1390" s="262"/>
      <c r="W1390" s="254"/>
      <c r="X1390" s="254"/>
      <c r="Y1390" s="154"/>
      <c r="Z1390" s="6"/>
      <c r="AA1390" s="6"/>
      <c r="AB1390" s="6"/>
      <c r="AC1390" s="6"/>
      <c r="AD1390" s="6"/>
      <c r="AE1390" s="75"/>
      <c r="AF1390" s="45"/>
    </row>
    <row r="1391" spans="2:32" customFormat="1" x14ac:dyDescent="0.25">
      <c r="B1391" s="127"/>
      <c r="D1391" s="234"/>
      <c r="E1391" s="234"/>
      <c r="V1391" s="262"/>
      <c r="W1391" s="254"/>
      <c r="X1391" s="254"/>
      <c r="Y1391" s="154"/>
      <c r="Z1391" s="6"/>
      <c r="AA1391" s="6"/>
      <c r="AB1391" s="6"/>
      <c r="AC1391" s="6"/>
      <c r="AD1391" s="6"/>
      <c r="AE1391" s="75"/>
      <c r="AF1391" s="45"/>
    </row>
    <row r="1392" spans="2:32" customFormat="1" x14ac:dyDescent="0.25">
      <c r="B1392" s="127"/>
      <c r="D1392" s="234"/>
      <c r="E1392" s="234"/>
      <c r="V1392" s="262"/>
      <c r="W1392" s="254"/>
      <c r="X1392" s="254"/>
      <c r="Y1392" s="154"/>
      <c r="Z1392" s="6"/>
      <c r="AA1392" s="6"/>
      <c r="AB1392" s="6"/>
      <c r="AC1392" s="6"/>
      <c r="AD1392" s="6"/>
      <c r="AE1392" s="75"/>
      <c r="AF1392" s="45"/>
    </row>
    <row r="1393" spans="2:32" customFormat="1" x14ac:dyDescent="0.25">
      <c r="B1393" s="127"/>
      <c r="D1393" s="234"/>
      <c r="E1393" s="234"/>
      <c r="V1393" s="262"/>
      <c r="W1393" s="254"/>
      <c r="X1393" s="254"/>
      <c r="Y1393" s="154"/>
      <c r="Z1393" s="6"/>
      <c r="AA1393" s="6"/>
      <c r="AB1393" s="6"/>
      <c r="AC1393" s="6"/>
      <c r="AD1393" s="6"/>
      <c r="AE1393" s="75"/>
      <c r="AF1393" s="45"/>
    </row>
    <row r="1394" spans="2:32" customFormat="1" x14ac:dyDescent="0.25">
      <c r="B1394" s="127"/>
      <c r="D1394" s="234"/>
      <c r="E1394" s="234"/>
      <c r="V1394" s="262"/>
      <c r="W1394" s="254"/>
      <c r="X1394" s="254"/>
      <c r="Y1394" s="154"/>
      <c r="Z1394" s="6"/>
      <c r="AA1394" s="6"/>
      <c r="AB1394" s="6"/>
      <c r="AC1394" s="6"/>
      <c r="AD1394" s="6"/>
      <c r="AE1394" s="75"/>
      <c r="AF1394" s="45"/>
    </row>
    <row r="1395" spans="2:32" customFormat="1" x14ac:dyDescent="0.25">
      <c r="B1395" s="127"/>
      <c r="D1395" s="234"/>
      <c r="E1395" s="234"/>
      <c r="V1395" s="262"/>
      <c r="W1395" s="254"/>
      <c r="X1395" s="254"/>
      <c r="Y1395" s="154"/>
      <c r="Z1395" s="6"/>
      <c r="AA1395" s="6"/>
      <c r="AB1395" s="6"/>
      <c r="AC1395" s="6"/>
      <c r="AD1395" s="6"/>
      <c r="AE1395" s="75"/>
      <c r="AF1395" s="45"/>
    </row>
    <row r="1396" spans="2:32" customFormat="1" x14ac:dyDescent="0.25">
      <c r="B1396" s="127"/>
      <c r="D1396" s="234"/>
      <c r="E1396" s="234"/>
      <c r="V1396" s="262"/>
      <c r="W1396" s="254"/>
      <c r="X1396" s="254"/>
      <c r="Y1396" s="154"/>
      <c r="Z1396" s="6"/>
      <c r="AA1396" s="6"/>
      <c r="AB1396" s="6"/>
      <c r="AC1396" s="6"/>
      <c r="AD1396" s="6"/>
      <c r="AE1396" s="75"/>
      <c r="AF1396" s="45"/>
    </row>
    <row r="1397" spans="2:32" customFormat="1" x14ac:dyDescent="0.25">
      <c r="B1397" s="127"/>
      <c r="D1397" s="234"/>
      <c r="E1397" s="234"/>
      <c r="V1397" s="262"/>
      <c r="W1397" s="254"/>
      <c r="X1397" s="254"/>
      <c r="Y1397" s="154"/>
      <c r="Z1397" s="6"/>
      <c r="AA1397" s="6"/>
      <c r="AB1397" s="6"/>
      <c r="AC1397" s="6"/>
      <c r="AD1397" s="6"/>
      <c r="AE1397" s="75"/>
      <c r="AF1397" s="45"/>
    </row>
    <row r="1398" spans="2:32" customFormat="1" x14ac:dyDescent="0.25">
      <c r="B1398" s="127"/>
      <c r="D1398" s="234"/>
      <c r="E1398" s="234"/>
      <c r="V1398" s="262"/>
      <c r="W1398" s="254"/>
      <c r="X1398" s="254"/>
      <c r="Y1398" s="154"/>
      <c r="Z1398" s="6"/>
      <c r="AA1398" s="6"/>
      <c r="AB1398" s="6"/>
      <c r="AC1398" s="6"/>
      <c r="AD1398" s="6"/>
      <c r="AE1398" s="75"/>
      <c r="AF1398" s="45"/>
    </row>
    <row r="1399" spans="2:32" customFormat="1" x14ac:dyDescent="0.25">
      <c r="B1399" s="127"/>
      <c r="D1399" s="234"/>
      <c r="E1399" s="234"/>
      <c r="V1399" s="262"/>
      <c r="W1399" s="254"/>
      <c r="X1399" s="254"/>
      <c r="Y1399" s="154"/>
      <c r="Z1399" s="6"/>
      <c r="AA1399" s="6"/>
      <c r="AB1399" s="6"/>
      <c r="AC1399" s="6"/>
      <c r="AD1399" s="6"/>
      <c r="AE1399" s="75"/>
      <c r="AF1399" s="45"/>
    </row>
    <row r="1400" spans="2:32" customFormat="1" x14ac:dyDescent="0.25">
      <c r="B1400" s="127"/>
      <c r="D1400" s="234"/>
      <c r="E1400" s="234"/>
      <c r="V1400" s="262"/>
      <c r="W1400" s="254"/>
      <c r="X1400" s="254"/>
      <c r="Y1400" s="154"/>
      <c r="Z1400" s="6"/>
      <c r="AA1400" s="6"/>
      <c r="AB1400" s="6"/>
      <c r="AC1400" s="6"/>
      <c r="AD1400" s="6"/>
      <c r="AE1400" s="75"/>
      <c r="AF1400" s="45"/>
    </row>
    <row r="1401" spans="2:32" customFormat="1" x14ac:dyDescent="0.25">
      <c r="B1401" s="127"/>
      <c r="D1401" s="234"/>
      <c r="E1401" s="234"/>
      <c r="V1401" s="262"/>
      <c r="W1401" s="254"/>
      <c r="X1401" s="254"/>
      <c r="Y1401" s="154"/>
      <c r="Z1401" s="6"/>
      <c r="AA1401" s="6"/>
      <c r="AB1401" s="6"/>
      <c r="AC1401" s="6"/>
      <c r="AD1401" s="6"/>
      <c r="AE1401" s="75"/>
      <c r="AF1401" s="45"/>
    </row>
    <row r="1402" spans="2:32" customFormat="1" x14ac:dyDescent="0.25">
      <c r="B1402" s="127"/>
      <c r="D1402" s="234"/>
      <c r="E1402" s="234"/>
      <c r="V1402" s="262"/>
      <c r="W1402" s="254"/>
      <c r="X1402" s="254"/>
      <c r="Y1402" s="154"/>
      <c r="Z1402" s="6"/>
      <c r="AA1402" s="6"/>
      <c r="AB1402" s="6"/>
      <c r="AC1402" s="6"/>
      <c r="AD1402" s="6"/>
      <c r="AE1402" s="75"/>
      <c r="AF1402" s="45"/>
    </row>
    <row r="1403" spans="2:32" customFormat="1" x14ac:dyDescent="0.25">
      <c r="B1403" s="127"/>
      <c r="D1403" s="234"/>
      <c r="E1403" s="234"/>
      <c r="V1403" s="262"/>
      <c r="W1403" s="254"/>
      <c r="X1403" s="254"/>
      <c r="Y1403" s="154"/>
      <c r="Z1403" s="6"/>
      <c r="AA1403" s="6"/>
      <c r="AB1403" s="6"/>
      <c r="AC1403" s="6"/>
      <c r="AD1403" s="6"/>
      <c r="AE1403" s="75"/>
      <c r="AF1403" s="45"/>
    </row>
    <row r="1404" spans="2:32" customFormat="1" x14ac:dyDescent="0.25">
      <c r="B1404" s="127"/>
      <c r="D1404" s="234"/>
      <c r="E1404" s="234"/>
      <c r="V1404" s="262"/>
      <c r="W1404" s="254"/>
      <c r="X1404" s="254"/>
      <c r="Y1404" s="154"/>
      <c r="Z1404" s="6"/>
      <c r="AA1404" s="6"/>
      <c r="AB1404" s="6"/>
      <c r="AC1404" s="6"/>
      <c r="AD1404" s="6"/>
      <c r="AE1404" s="75"/>
      <c r="AF1404" s="45"/>
    </row>
    <row r="1405" spans="2:32" customFormat="1" x14ac:dyDescent="0.25">
      <c r="B1405" s="127"/>
      <c r="D1405" s="234"/>
      <c r="E1405" s="234"/>
      <c r="V1405" s="262"/>
      <c r="W1405" s="254"/>
      <c r="X1405" s="254"/>
      <c r="Y1405" s="154"/>
      <c r="Z1405" s="6"/>
      <c r="AA1405" s="6"/>
      <c r="AB1405" s="6"/>
      <c r="AC1405" s="6"/>
      <c r="AD1405" s="6"/>
      <c r="AE1405" s="75"/>
      <c r="AF1405" s="45"/>
    </row>
    <row r="1406" spans="2:32" customFormat="1" x14ac:dyDescent="0.25">
      <c r="B1406" s="127"/>
      <c r="D1406" s="234"/>
      <c r="E1406" s="234"/>
      <c r="V1406" s="262"/>
      <c r="W1406" s="254"/>
      <c r="X1406" s="254"/>
      <c r="Y1406" s="154"/>
      <c r="Z1406" s="6"/>
      <c r="AA1406" s="6"/>
      <c r="AB1406" s="6"/>
      <c r="AC1406" s="6"/>
      <c r="AD1406" s="6"/>
      <c r="AE1406" s="75"/>
      <c r="AF1406" s="45"/>
    </row>
    <row r="1407" spans="2:32" customFormat="1" x14ac:dyDescent="0.25">
      <c r="B1407" s="127"/>
      <c r="D1407" s="234"/>
      <c r="E1407" s="234"/>
      <c r="V1407" s="262"/>
      <c r="W1407" s="254"/>
      <c r="X1407" s="254"/>
      <c r="Y1407" s="154"/>
      <c r="Z1407" s="6"/>
      <c r="AA1407" s="6"/>
      <c r="AB1407" s="6"/>
      <c r="AC1407" s="6"/>
      <c r="AD1407" s="6"/>
      <c r="AE1407" s="75"/>
      <c r="AF1407" s="45"/>
    </row>
    <row r="1408" spans="2:32" customFormat="1" x14ac:dyDescent="0.25">
      <c r="B1408" s="127"/>
      <c r="D1408" s="234"/>
      <c r="E1408" s="234"/>
      <c r="V1408" s="262"/>
      <c r="W1408" s="254"/>
      <c r="X1408" s="254"/>
      <c r="Y1408" s="154"/>
      <c r="Z1408" s="6"/>
      <c r="AA1408" s="6"/>
      <c r="AB1408" s="6"/>
      <c r="AC1408" s="6"/>
      <c r="AD1408" s="6"/>
      <c r="AE1408" s="75"/>
      <c r="AF1408" s="45"/>
    </row>
    <row r="1409" spans="2:32" customFormat="1" x14ac:dyDescent="0.25">
      <c r="B1409" s="127"/>
      <c r="D1409" s="234"/>
      <c r="E1409" s="234"/>
      <c r="V1409" s="262"/>
      <c r="W1409" s="254"/>
      <c r="X1409" s="254"/>
      <c r="Y1409" s="154"/>
      <c r="Z1409" s="6"/>
      <c r="AA1409" s="6"/>
      <c r="AB1409" s="6"/>
      <c r="AC1409" s="6"/>
      <c r="AD1409" s="6"/>
      <c r="AE1409" s="75"/>
      <c r="AF1409" s="45"/>
    </row>
    <row r="1410" spans="2:32" customFormat="1" x14ac:dyDescent="0.25">
      <c r="B1410" s="127"/>
      <c r="D1410" s="234"/>
      <c r="E1410" s="234"/>
      <c r="V1410" s="262"/>
      <c r="W1410" s="254"/>
      <c r="X1410" s="254"/>
      <c r="Y1410" s="154"/>
      <c r="Z1410" s="6"/>
      <c r="AA1410" s="6"/>
      <c r="AB1410" s="6"/>
      <c r="AC1410" s="6"/>
      <c r="AD1410" s="6"/>
      <c r="AE1410" s="75"/>
      <c r="AF1410" s="45"/>
    </row>
    <row r="1411" spans="2:32" customFormat="1" x14ac:dyDescent="0.25">
      <c r="B1411" s="127"/>
      <c r="D1411" s="234"/>
      <c r="E1411" s="234"/>
      <c r="V1411" s="262"/>
      <c r="W1411" s="254"/>
      <c r="X1411" s="254"/>
      <c r="Y1411" s="154"/>
      <c r="Z1411" s="6"/>
      <c r="AA1411" s="6"/>
      <c r="AB1411" s="6"/>
      <c r="AC1411" s="6"/>
      <c r="AD1411" s="6"/>
      <c r="AE1411" s="75"/>
      <c r="AF1411" s="45"/>
    </row>
    <row r="1412" spans="2:32" customFormat="1" x14ac:dyDescent="0.25">
      <c r="B1412" s="127"/>
      <c r="D1412" s="234"/>
      <c r="E1412" s="234"/>
      <c r="V1412" s="262"/>
      <c r="W1412" s="254"/>
      <c r="X1412" s="254"/>
      <c r="Y1412" s="154"/>
      <c r="Z1412" s="6"/>
      <c r="AA1412" s="6"/>
      <c r="AB1412" s="6"/>
      <c r="AC1412" s="6"/>
      <c r="AD1412" s="6"/>
      <c r="AE1412" s="75"/>
      <c r="AF1412" s="45"/>
    </row>
    <row r="1413" spans="2:32" customFormat="1" x14ac:dyDescent="0.25">
      <c r="B1413" s="127"/>
      <c r="D1413" s="234"/>
      <c r="E1413" s="234"/>
      <c r="V1413" s="262"/>
      <c r="W1413" s="254"/>
      <c r="X1413" s="254"/>
      <c r="Y1413" s="154"/>
      <c r="Z1413" s="6"/>
      <c r="AA1413" s="6"/>
      <c r="AB1413" s="6"/>
      <c r="AC1413" s="6"/>
      <c r="AD1413" s="6"/>
      <c r="AE1413" s="75"/>
      <c r="AF1413" s="45"/>
    </row>
    <row r="1414" spans="2:32" customFormat="1" x14ac:dyDescent="0.25">
      <c r="B1414" s="127"/>
      <c r="D1414" s="234"/>
      <c r="E1414" s="234"/>
      <c r="V1414" s="262"/>
      <c r="W1414" s="254"/>
      <c r="X1414" s="254"/>
      <c r="Y1414" s="154"/>
      <c r="Z1414" s="6"/>
      <c r="AA1414" s="6"/>
      <c r="AB1414" s="6"/>
      <c r="AC1414" s="6"/>
      <c r="AD1414" s="6"/>
      <c r="AE1414" s="75"/>
      <c r="AF1414" s="45"/>
    </row>
    <row r="1415" spans="2:32" customFormat="1" x14ac:dyDescent="0.25">
      <c r="B1415" s="127"/>
      <c r="D1415" s="234"/>
      <c r="E1415" s="234"/>
      <c r="V1415" s="262"/>
      <c r="W1415" s="254"/>
      <c r="X1415" s="254"/>
      <c r="Y1415" s="154"/>
      <c r="Z1415" s="6"/>
      <c r="AA1415" s="6"/>
      <c r="AB1415" s="6"/>
      <c r="AC1415" s="6"/>
      <c r="AD1415" s="6"/>
      <c r="AE1415" s="75"/>
      <c r="AF1415" s="45"/>
    </row>
    <row r="1416" spans="2:32" customFormat="1" x14ac:dyDescent="0.25">
      <c r="B1416" s="127"/>
      <c r="D1416" s="234"/>
      <c r="E1416" s="234"/>
      <c r="V1416" s="262"/>
      <c r="W1416" s="254"/>
      <c r="X1416" s="254"/>
      <c r="Y1416" s="154"/>
      <c r="Z1416" s="6"/>
      <c r="AA1416" s="6"/>
      <c r="AB1416" s="6"/>
      <c r="AC1416" s="6"/>
      <c r="AD1416" s="6"/>
      <c r="AE1416" s="75"/>
      <c r="AF1416" s="45"/>
    </row>
    <row r="1417" spans="2:32" customFormat="1" x14ac:dyDescent="0.25">
      <c r="B1417" s="127"/>
      <c r="D1417" s="234"/>
      <c r="E1417" s="234"/>
      <c r="V1417" s="262"/>
      <c r="W1417" s="254"/>
      <c r="X1417" s="254"/>
      <c r="Y1417" s="154"/>
      <c r="Z1417" s="6"/>
      <c r="AA1417" s="6"/>
      <c r="AB1417" s="6"/>
      <c r="AC1417" s="6"/>
      <c r="AD1417" s="6"/>
      <c r="AE1417" s="75"/>
      <c r="AF1417" s="45"/>
    </row>
    <row r="1418" spans="2:32" customFormat="1" x14ac:dyDescent="0.25">
      <c r="B1418" s="127"/>
      <c r="D1418" s="234"/>
      <c r="E1418" s="234"/>
      <c r="V1418" s="262"/>
      <c r="W1418" s="254"/>
      <c r="X1418" s="254"/>
      <c r="Y1418" s="154"/>
      <c r="Z1418" s="6"/>
      <c r="AA1418" s="6"/>
      <c r="AB1418" s="6"/>
      <c r="AC1418" s="6"/>
      <c r="AD1418" s="6"/>
      <c r="AE1418" s="75"/>
      <c r="AF1418" s="45"/>
    </row>
    <row r="1419" spans="2:32" customFormat="1" x14ac:dyDescent="0.25">
      <c r="B1419" s="127"/>
      <c r="D1419" s="234"/>
      <c r="E1419" s="234"/>
      <c r="V1419" s="262"/>
      <c r="W1419" s="254"/>
      <c r="X1419" s="254"/>
      <c r="Y1419" s="154"/>
      <c r="Z1419" s="6"/>
      <c r="AA1419" s="6"/>
      <c r="AB1419" s="6"/>
      <c r="AC1419" s="6"/>
      <c r="AD1419" s="6"/>
      <c r="AE1419" s="75"/>
      <c r="AF1419" s="45"/>
    </row>
    <row r="1420" spans="2:32" customFormat="1" x14ac:dyDescent="0.25">
      <c r="B1420" s="127"/>
      <c r="D1420" s="234"/>
      <c r="E1420" s="234"/>
      <c r="V1420" s="262"/>
      <c r="W1420" s="254"/>
      <c r="X1420" s="254"/>
      <c r="Y1420" s="154"/>
      <c r="Z1420" s="6"/>
      <c r="AA1420" s="6"/>
      <c r="AB1420" s="6"/>
      <c r="AC1420" s="6"/>
      <c r="AD1420" s="6"/>
      <c r="AE1420" s="75"/>
      <c r="AF1420" s="45"/>
    </row>
    <row r="1421" spans="2:32" customFormat="1" x14ac:dyDescent="0.25">
      <c r="B1421" s="127"/>
      <c r="D1421" s="234"/>
      <c r="E1421" s="234"/>
      <c r="V1421" s="262"/>
      <c r="W1421" s="254"/>
      <c r="X1421" s="254"/>
      <c r="Y1421" s="154"/>
      <c r="Z1421" s="6"/>
      <c r="AA1421" s="6"/>
      <c r="AB1421" s="6"/>
      <c r="AC1421" s="6"/>
      <c r="AD1421" s="6"/>
      <c r="AE1421" s="75"/>
      <c r="AF1421" s="45"/>
    </row>
    <row r="1422" spans="2:32" customFormat="1" x14ac:dyDescent="0.25">
      <c r="B1422" s="127"/>
      <c r="D1422" s="234"/>
      <c r="E1422" s="234"/>
      <c r="V1422" s="262"/>
      <c r="W1422" s="254"/>
      <c r="X1422" s="254"/>
      <c r="Y1422" s="154"/>
      <c r="Z1422" s="6"/>
      <c r="AA1422" s="6"/>
      <c r="AB1422" s="6"/>
      <c r="AC1422" s="6"/>
      <c r="AD1422" s="6"/>
      <c r="AE1422" s="75"/>
      <c r="AF1422" s="45"/>
    </row>
    <row r="1423" spans="2:32" customFormat="1" x14ac:dyDescent="0.25">
      <c r="B1423" s="127"/>
      <c r="D1423" s="234"/>
      <c r="E1423" s="234"/>
      <c r="V1423" s="262"/>
      <c r="W1423" s="254"/>
      <c r="X1423" s="254"/>
      <c r="Y1423" s="154"/>
      <c r="Z1423" s="6"/>
      <c r="AA1423" s="6"/>
      <c r="AB1423" s="6"/>
      <c r="AC1423" s="6"/>
      <c r="AD1423" s="6"/>
      <c r="AE1423" s="75"/>
      <c r="AF1423" s="45"/>
    </row>
    <row r="1424" spans="2:32" customFormat="1" x14ac:dyDescent="0.25">
      <c r="B1424" s="127"/>
      <c r="D1424" s="234"/>
      <c r="E1424" s="234"/>
      <c r="V1424" s="262"/>
      <c r="W1424" s="254"/>
      <c r="X1424" s="254"/>
      <c r="Y1424" s="154"/>
      <c r="Z1424" s="6"/>
      <c r="AA1424" s="6"/>
      <c r="AB1424" s="6"/>
      <c r="AC1424" s="6"/>
      <c r="AD1424" s="6"/>
      <c r="AE1424" s="75"/>
      <c r="AF1424" s="45"/>
    </row>
    <row r="1425" spans="2:32" customFormat="1" x14ac:dyDescent="0.25">
      <c r="B1425" s="127"/>
      <c r="D1425" s="234"/>
      <c r="E1425" s="234"/>
      <c r="V1425" s="262"/>
      <c r="W1425" s="254"/>
      <c r="X1425" s="254"/>
      <c r="Y1425" s="154"/>
      <c r="Z1425" s="6"/>
      <c r="AA1425" s="6"/>
      <c r="AB1425" s="6"/>
      <c r="AC1425" s="6"/>
      <c r="AD1425" s="6"/>
      <c r="AE1425" s="75"/>
      <c r="AF1425" s="45"/>
    </row>
    <row r="1426" spans="2:32" customFormat="1" x14ac:dyDescent="0.25">
      <c r="B1426" s="127"/>
      <c r="D1426" s="234"/>
      <c r="E1426" s="234"/>
      <c r="V1426" s="262"/>
      <c r="W1426" s="254"/>
      <c r="X1426" s="254"/>
      <c r="Y1426" s="154"/>
      <c r="Z1426" s="6"/>
      <c r="AA1426" s="6"/>
      <c r="AB1426" s="6"/>
      <c r="AC1426" s="6"/>
      <c r="AD1426" s="6"/>
      <c r="AE1426" s="75"/>
      <c r="AF1426" s="45"/>
    </row>
    <row r="1427" spans="2:32" customFormat="1" x14ac:dyDescent="0.25">
      <c r="B1427" s="127"/>
      <c r="D1427" s="234"/>
      <c r="E1427" s="234"/>
      <c r="V1427" s="262"/>
      <c r="W1427" s="254"/>
      <c r="X1427" s="254"/>
      <c r="Y1427" s="154"/>
      <c r="Z1427" s="6"/>
      <c r="AA1427" s="6"/>
      <c r="AB1427" s="6"/>
      <c r="AC1427" s="6"/>
      <c r="AD1427" s="6"/>
      <c r="AE1427" s="75"/>
      <c r="AF1427" s="45"/>
    </row>
    <row r="1428" spans="2:32" customFormat="1" x14ac:dyDescent="0.25">
      <c r="B1428" s="127"/>
      <c r="D1428" s="234"/>
      <c r="E1428" s="234"/>
      <c r="V1428" s="262"/>
      <c r="W1428" s="254"/>
      <c r="X1428" s="254"/>
      <c r="Y1428" s="154"/>
      <c r="Z1428" s="6"/>
      <c r="AA1428" s="6"/>
      <c r="AB1428" s="6"/>
      <c r="AC1428" s="6"/>
      <c r="AD1428" s="6"/>
      <c r="AE1428" s="75"/>
      <c r="AF1428" s="45"/>
    </row>
    <row r="1429" spans="2:32" customFormat="1" x14ac:dyDescent="0.25">
      <c r="B1429" s="127"/>
      <c r="D1429" s="234"/>
      <c r="E1429" s="234"/>
      <c r="V1429" s="262"/>
      <c r="W1429" s="254"/>
      <c r="X1429" s="254"/>
      <c r="Y1429" s="154"/>
      <c r="Z1429" s="6"/>
      <c r="AA1429" s="6"/>
      <c r="AB1429" s="6"/>
      <c r="AC1429" s="6"/>
      <c r="AD1429" s="6"/>
      <c r="AE1429" s="75"/>
      <c r="AF1429" s="45"/>
    </row>
    <row r="1430" spans="2:32" customFormat="1" x14ac:dyDescent="0.25">
      <c r="B1430" s="127"/>
      <c r="D1430" s="234"/>
      <c r="E1430" s="234"/>
      <c r="V1430" s="262"/>
      <c r="W1430" s="254"/>
      <c r="X1430" s="254"/>
      <c r="Y1430" s="154"/>
      <c r="Z1430" s="6"/>
      <c r="AA1430" s="6"/>
      <c r="AB1430" s="6"/>
      <c r="AC1430" s="6"/>
      <c r="AD1430" s="6"/>
      <c r="AE1430" s="75"/>
      <c r="AF1430" s="45"/>
    </row>
    <row r="1431" spans="2:32" customFormat="1" x14ac:dyDescent="0.25">
      <c r="B1431" s="127"/>
      <c r="D1431" s="234"/>
      <c r="E1431" s="234"/>
      <c r="V1431" s="262"/>
      <c r="W1431" s="254"/>
      <c r="X1431" s="254"/>
      <c r="Y1431" s="154"/>
      <c r="Z1431" s="6"/>
      <c r="AA1431" s="6"/>
      <c r="AB1431" s="6"/>
      <c r="AC1431" s="6"/>
      <c r="AD1431" s="6"/>
      <c r="AE1431" s="75"/>
      <c r="AF1431" s="45"/>
    </row>
    <row r="1432" spans="2:32" customFormat="1" x14ac:dyDescent="0.25">
      <c r="B1432" s="127"/>
      <c r="D1432" s="234"/>
      <c r="E1432" s="234"/>
      <c r="V1432" s="262"/>
      <c r="W1432" s="254"/>
      <c r="X1432" s="254"/>
      <c r="Y1432" s="154"/>
      <c r="Z1432" s="6"/>
      <c r="AA1432" s="6"/>
      <c r="AB1432" s="6"/>
      <c r="AC1432" s="6"/>
      <c r="AD1432" s="6"/>
      <c r="AE1432" s="75"/>
      <c r="AF1432" s="45"/>
    </row>
    <row r="1433" spans="2:32" customFormat="1" x14ac:dyDescent="0.25">
      <c r="B1433" s="127"/>
      <c r="D1433" s="234"/>
      <c r="E1433" s="234"/>
      <c r="V1433" s="262"/>
      <c r="W1433" s="254"/>
      <c r="X1433" s="254"/>
      <c r="Y1433" s="154"/>
      <c r="Z1433" s="6"/>
      <c r="AA1433" s="6"/>
      <c r="AB1433" s="6"/>
      <c r="AC1433" s="6"/>
      <c r="AD1433" s="6"/>
      <c r="AE1433" s="75"/>
      <c r="AF1433" s="45"/>
    </row>
    <row r="1434" spans="2:32" customFormat="1" x14ac:dyDescent="0.25">
      <c r="B1434" s="127"/>
      <c r="D1434" s="234"/>
      <c r="E1434" s="234"/>
      <c r="V1434" s="262"/>
      <c r="W1434" s="254"/>
      <c r="X1434" s="254"/>
      <c r="Y1434" s="154"/>
      <c r="Z1434" s="6"/>
      <c r="AA1434" s="6"/>
      <c r="AB1434" s="6"/>
      <c r="AC1434" s="6"/>
      <c r="AD1434" s="6"/>
      <c r="AE1434" s="75"/>
      <c r="AF1434" s="45"/>
    </row>
    <row r="1435" spans="2:32" customFormat="1" x14ac:dyDescent="0.25">
      <c r="B1435" s="127"/>
      <c r="D1435" s="234"/>
      <c r="E1435" s="234"/>
      <c r="V1435" s="262"/>
      <c r="W1435" s="254"/>
      <c r="X1435" s="254"/>
      <c r="Y1435" s="154"/>
      <c r="Z1435" s="6"/>
      <c r="AA1435" s="6"/>
      <c r="AB1435" s="6"/>
      <c r="AC1435" s="6"/>
      <c r="AD1435" s="6"/>
      <c r="AE1435" s="75"/>
      <c r="AF1435" s="45"/>
    </row>
    <row r="1436" spans="2:32" customFormat="1" x14ac:dyDescent="0.25">
      <c r="B1436" s="127"/>
      <c r="D1436" s="234"/>
      <c r="E1436" s="234"/>
      <c r="V1436" s="262"/>
      <c r="W1436" s="254"/>
      <c r="X1436" s="254"/>
      <c r="Y1436" s="154"/>
      <c r="Z1436" s="6"/>
      <c r="AA1436" s="6"/>
      <c r="AB1436" s="6"/>
      <c r="AC1436" s="6"/>
      <c r="AD1436" s="6"/>
      <c r="AE1436" s="75"/>
      <c r="AF1436" s="45"/>
    </row>
    <row r="1437" spans="2:32" customFormat="1" x14ac:dyDescent="0.25">
      <c r="B1437" s="127"/>
      <c r="D1437" s="234"/>
      <c r="E1437" s="234"/>
      <c r="V1437" s="262"/>
      <c r="W1437" s="254"/>
      <c r="X1437" s="254"/>
      <c r="Y1437" s="154"/>
      <c r="Z1437" s="6"/>
      <c r="AA1437" s="6"/>
      <c r="AB1437" s="6"/>
      <c r="AC1437" s="6"/>
      <c r="AD1437" s="6"/>
      <c r="AE1437" s="75"/>
      <c r="AF1437" s="45"/>
    </row>
    <row r="1438" spans="2:32" customFormat="1" x14ac:dyDescent="0.25">
      <c r="B1438" s="127"/>
      <c r="D1438" s="234"/>
      <c r="E1438" s="234"/>
      <c r="V1438" s="262"/>
      <c r="W1438" s="254"/>
      <c r="X1438" s="254"/>
      <c r="Y1438" s="154"/>
      <c r="Z1438" s="6"/>
      <c r="AA1438" s="6"/>
      <c r="AB1438" s="6"/>
      <c r="AC1438" s="6"/>
      <c r="AD1438" s="6"/>
      <c r="AE1438" s="75"/>
      <c r="AF1438" s="45"/>
    </row>
    <row r="1439" spans="2:32" customFormat="1" x14ac:dyDescent="0.25">
      <c r="B1439" s="127"/>
      <c r="D1439" s="234"/>
      <c r="E1439" s="234"/>
      <c r="V1439" s="262"/>
      <c r="W1439" s="254"/>
      <c r="X1439" s="254"/>
      <c r="Y1439" s="154"/>
      <c r="Z1439" s="6"/>
      <c r="AA1439" s="6"/>
      <c r="AB1439" s="6"/>
      <c r="AC1439" s="6"/>
      <c r="AD1439" s="6"/>
      <c r="AE1439" s="75"/>
      <c r="AF1439" s="45"/>
    </row>
    <row r="1440" spans="2:32" customFormat="1" x14ac:dyDescent="0.25">
      <c r="B1440" s="127"/>
      <c r="D1440" s="234"/>
      <c r="E1440" s="234"/>
      <c r="V1440" s="262"/>
      <c r="W1440" s="254"/>
      <c r="X1440" s="254"/>
      <c r="Y1440" s="154"/>
      <c r="Z1440" s="6"/>
      <c r="AA1440" s="6"/>
      <c r="AB1440" s="6"/>
      <c r="AC1440" s="6"/>
      <c r="AD1440" s="6"/>
      <c r="AE1440" s="75"/>
      <c r="AF1440" s="45"/>
    </row>
    <row r="1441" spans="2:32" customFormat="1" x14ac:dyDescent="0.25">
      <c r="B1441" s="127"/>
      <c r="D1441" s="234"/>
      <c r="E1441" s="234"/>
      <c r="V1441" s="262"/>
      <c r="W1441" s="254"/>
      <c r="X1441" s="254"/>
      <c r="Y1441" s="154"/>
      <c r="Z1441" s="6"/>
      <c r="AA1441" s="6"/>
      <c r="AB1441" s="6"/>
      <c r="AC1441" s="6"/>
      <c r="AD1441" s="6"/>
      <c r="AE1441" s="75"/>
      <c r="AF1441" s="45"/>
    </row>
    <row r="1442" spans="2:32" customFormat="1" x14ac:dyDescent="0.25">
      <c r="B1442" s="127"/>
      <c r="D1442" s="234"/>
      <c r="E1442" s="234"/>
      <c r="V1442" s="262"/>
      <c r="W1442" s="254"/>
      <c r="X1442" s="254"/>
      <c r="Y1442" s="154"/>
      <c r="Z1442" s="6"/>
      <c r="AA1442" s="6"/>
      <c r="AB1442" s="6"/>
      <c r="AC1442" s="6"/>
      <c r="AD1442" s="6"/>
      <c r="AE1442" s="75"/>
      <c r="AF1442" s="45"/>
    </row>
    <row r="1443" spans="2:32" customFormat="1" x14ac:dyDescent="0.25">
      <c r="B1443" s="127"/>
      <c r="D1443" s="234"/>
      <c r="E1443" s="234"/>
      <c r="V1443" s="262"/>
      <c r="W1443" s="254"/>
      <c r="X1443" s="254"/>
      <c r="Y1443" s="154"/>
      <c r="Z1443" s="6"/>
      <c r="AA1443" s="6"/>
      <c r="AB1443" s="6"/>
      <c r="AC1443" s="6"/>
      <c r="AD1443" s="6"/>
      <c r="AE1443" s="75"/>
      <c r="AF1443" s="45"/>
    </row>
    <row r="1444" spans="2:32" customFormat="1" x14ac:dyDescent="0.25">
      <c r="B1444" s="127"/>
      <c r="D1444" s="234"/>
      <c r="E1444" s="234"/>
      <c r="V1444" s="262"/>
      <c r="W1444" s="254"/>
      <c r="X1444" s="254"/>
      <c r="Y1444" s="154"/>
      <c r="Z1444" s="6"/>
      <c r="AA1444" s="6"/>
      <c r="AB1444" s="6"/>
      <c r="AC1444" s="6"/>
      <c r="AD1444" s="6"/>
      <c r="AE1444" s="75"/>
      <c r="AF1444" s="45"/>
    </row>
    <row r="1445" spans="2:32" customFormat="1" x14ac:dyDescent="0.25">
      <c r="B1445" s="127"/>
      <c r="D1445" s="234"/>
      <c r="E1445" s="234"/>
      <c r="V1445" s="262"/>
      <c r="W1445" s="254"/>
      <c r="X1445" s="254"/>
      <c r="Y1445" s="154"/>
      <c r="Z1445" s="6"/>
      <c r="AA1445" s="6"/>
      <c r="AB1445" s="6"/>
      <c r="AC1445" s="6"/>
      <c r="AD1445" s="6"/>
      <c r="AE1445" s="75"/>
      <c r="AF1445" s="45"/>
    </row>
    <row r="1446" spans="2:32" customFormat="1" x14ac:dyDescent="0.25">
      <c r="B1446" s="127"/>
      <c r="D1446" s="234"/>
      <c r="E1446" s="234"/>
      <c r="V1446" s="262"/>
      <c r="W1446" s="254"/>
      <c r="X1446" s="254"/>
      <c r="Y1446" s="154"/>
      <c r="Z1446" s="6"/>
      <c r="AA1446" s="6"/>
      <c r="AB1446" s="6"/>
      <c r="AC1446" s="6"/>
      <c r="AD1446" s="6"/>
      <c r="AE1446" s="75"/>
      <c r="AF1446" s="45"/>
    </row>
    <row r="1447" spans="2:32" customFormat="1" x14ac:dyDescent="0.25">
      <c r="B1447" s="127"/>
      <c r="D1447" s="234"/>
      <c r="E1447" s="234"/>
      <c r="V1447" s="262"/>
      <c r="W1447" s="254"/>
      <c r="X1447" s="254"/>
      <c r="Y1447" s="154"/>
      <c r="Z1447" s="6"/>
      <c r="AA1447" s="6"/>
      <c r="AB1447" s="6"/>
      <c r="AC1447" s="6"/>
      <c r="AD1447" s="6"/>
      <c r="AE1447" s="75"/>
      <c r="AF1447" s="45"/>
    </row>
    <row r="1448" spans="2:32" customFormat="1" x14ac:dyDescent="0.25">
      <c r="B1448" s="127"/>
      <c r="D1448" s="234"/>
      <c r="E1448" s="234"/>
      <c r="V1448" s="262"/>
      <c r="W1448" s="254"/>
      <c r="X1448" s="254"/>
      <c r="Y1448" s="154"/>
      <c r="Z1448" s="6"/>
      <c r="AA1448" s="6"/>
      <c r="AB1448" s="6"/>
      <c r="AC1448" s="6"/>
      <c r="AD1448" s="6"/>
      <c r="AE1448" s="75"/>
      <c r="AF1448" s="45"/>
    </row>
    <row r="1449" spans="2:32" customFormat="1" x14ac:dyDescent="0.25">
      <c r="B1449" s="127"/>
      <c r="D1449" s="234"/>
      <c r="E1449" s="234"/>
      <c r="V1449" s="262"/>
      <c r="W1449" s="254"/>
      <c r="X1449" s="254"/>
      <c r="Y1449" s="154"/>
      <c r="Z1449" s="6"/>
      <c r="AA1449" s="6"/>
      <c r="AB1449" s="6"/>
      <c r="AC1449" s="6"/>
      <c r="AD1449" s="6"/>
      <c r="AE1449" s="75"/>
      <c r="AF1449" s="45"/>
    </row>
    <row r="1450" spans="2:32" customFormat="1" x14ac:dyDescent="0.25">
      <c r="B1450" s="127"/>
      <c r="D1450" s="234"/>
      <c r="E1450" s="234"/>
      <c r="V1450" s="262"/>
      <c r="W1450" s="254"/>
      <c r="X1450" s="254"/>
      <c r="Y1450" s="154"/>
      <c r="Z1450" s="6"/>
      <c r="AA1450" s="6"/>
      <c r="AB1450" s="6"/>
      <c r="AC1450" s="6"/>
      <c r="AD1450" s="6"/>
      <c r="AE1450" s="75"/>
      <c r="AF1450" s="45"/>
    </row>
    <row r="1451" spans="2:32" customFormat="1" x14ac:dyDescent="0.25">
      <c r="B1451" s="127"/>
      <c r="D1451" s="234"/>
      <c r="E1451" s="234"/>
      <c r="V1451" s="262"/>
      <c r="W1451" s="254"/>
      <c r="X1451" s="254"/>
      <c r="Y1451" s="154"/>
      <c r="Z1451" s="6"/>
      <c r="AA1451" s="6"/>
      <c r="AB1451" s="6"/>
      <c r="AC1451" s="6"/>
      <c r="AD1451" s="6"/>
      <c r="AE1451" s="75"/>
      <c r="AF1451" s="45"/>
    </row>
    <row r="1452" spans="2:32" customFormat="1" x14ac:dyDescent="0.25">
      <c r="B1452" s="127"/>
      <c r="D1452" s="234"/>
      <c r="E1452" s="234"/>
      <c r="V1452" s="262"/>
      <c r="W1452" s="254"/>
      <c r="X1452" s="254"/>
      <c r="Y1452" s="154"/>
      <c r="Z1452" s="6"/>
      <c r="AA1452" s="6"/>
      <c r="AB1452" s="6"/>
      <c r="AC1452" s="6"/>
      <c r="AD1452" s="6"/>
      <c r="AE1452" s="75"/>
      <c r="AF1452" s="45"/>
    </row>
    <row r="1453" spans="2:32" customFormat="1" x14ac:dyDescent="0.25">
      <c r="B1453" s="127"/>
      <c r="D1453" s="234"/>
      <c r="E1453" s="234"/>
      <c r="V1453" s="262"/>
      <c r="W1453" s="254"/>
      <c r="X1453" s="254"/>
      <c r="Y1453" s="154"/>
      <c r="Z1453" s="6"/>
      <c r="AA1453" s="6"/>
      <c r="AB1453" s="6"/>
      <c r="AC1453" s="6"/>
      <c r="AD1453" s="6"/>
      <c r="AE1453" s="75"/>
      <c r="AF1453" s="45"/>
    </row>
    <row r="1454" spans="2:32" customFormat="1" x14ac:dyDescent="0.25">
      <c r="B1454" s="127"/>
      <c r="D1454" s="234"/>
      <c r="E1454" s="234"/>
      <c r="V1454" s="262"/>
      <c r="W1454" s="254"/>
      <c r="X1454" s="254"/>
      <c r="Y1454" s="154"/>
      <c r="Z1454" s="6"/>
      <c r="AA1454" s="6"/>
      <c r="AB1454" s="6"/>
      <c r="AC1454" s="6"/>
      <c r="AD1454" s="6"/>
      <c r="AE1454" s="75"/>
      <c r="AF1454" s="45"/>
    </row>
    <row r="1455" spans="2:32" customFormat="1" x14ac:dyDescent="0.25">
      <c r="B1455" s="127"/>
      <c r="D1455" s="234"/>
      <c r="E1455" s="234"/>
      <c r="V1455" s="262"/>
      <c r="W1455" s="254"/>
      <c r="X1455" s="254"/>
      <c r="Y1455" s="154"/>
      <c r="Z1455" s="6"/>
      <c r="AA1455" s="6"/>
      <c r="AB1455" s="6"/>
      <c r="AC1455" s="6"/>
      <c r="AD1455" s="6"/>
      <c r="AE1455" s="75"/>
      <c r="AF1455" s="45"/>
    </row>
    <row r="1456" spans="2:32" customFormat="1" x14ac:dyDescent="0.25">
      <c r="B1456" s="127"/>
      <c r="D1456" s="234"/>
      <c r="E1456" s="234"/>
      <c r="V1456" s="262"/>
      <c r="W1456" s="254"/>
      <c r="X1456" s="254"/>
      <c r="Y1456" s="154"/>
      <c r="Z1456" s="6"/>
      <c r="AA1456" s="6"/>
      <c r="AB1456" s="6"/>
      <c r="AC1456" s="6"/>
      <c r="AD1456" s="6"/>
      <c r="AE1456" s="75"/>
      <c r="AF1456" s="45"/>
    </row>
    <row r="1457" spans="2:32" customFormat="1" x14ac:dyDescent="0.25">
      <c r="B1457" s="127"/>
      <c r="D1457" s="234"/>
      <c r="E1457" s="234"/>
      <c r="V1457" s="262"/>
      <c r="W1457" s="254"/>
      <c r="X1457" s="254"/>
      <c r="Y1457" s="154"/>
      <c r="Z1457" s="6"/>
      <c r="AA1457" s="6"/>
      <c r="AB1457" s="6"/>
      <c r="AC1457" s="6"/>
      <c r="AD1457" s="6"/>
      <c r="AE1457" s="75"/>
      <c r="AF1457" s="45"/>
    </row>
    <row r="1458" spans="2:32" customFormat="1" x14ac:dyDescent="0.25">
      <c r="B1458" s="127"/>
      <c r="D1458" s="234"/>
      <c r="E1458" s="234"/>
      <c r="V1458" s="262"/>
      <c r="W1458" s="254"/>
      <c r="X1458" s="254"/>
      <c r="Y1458" s="154"/>
      <c r="Z1458" s="6"/>
      <c r="AA1458" s="6"/>
      <c r="AB1458" s="6"/>
      <c r="AC1458" s="6"/>
      <c r="AD1458" s="6"/>
      <c r="AE1458" s="75"/>
      <c r="AF1458" s="45"/>
    </row>
    <row r="1459" spans="2:32" customFormat="1" x14ac:dyDescent="0.25">
      <c r="B1459" s="127"/>
      <c r="D1459" s="234"/>
      <c r="E1459" s="234"/>
      <c r="V1459" s="262"/>
      <c r="W1459" s="254"/>
      <c r="X1459" s="254"/>
      <c r="Y1459" s="154"/>
      <c r="Z1459" s="6"/>
      <c r="AA1459" s="6"/>
      <c r="AB1459" s="6"/>
      <c r="AC1459" s="6"/>
      <c r="AD1459" s="6"/>
      <c r="AE1459" s="75"/>
      <c r="AF1459" s="45"/>
    </row>
    <row r="1460" spans="2:32" customFormat="1" x14ac:dyDescent="0.25">
      <c r="B1460" s="127"/>
      <c r="D1460" s="234"/>
      <c r="E1460" s="234"/>
      <c r="V1460" s="262"/>
      <c r="W1460" s="254"/>
      <c r="X1460" s="254"/>
      <c r="Y1460" s="154"/>
      <c r="Z1460" s="6"/>
      <c r="AA1460" s="6"/>
      <c r="AB1460" s="6"/>
      <c r="AC1460" s="6"/>
      <c r="AD1460" s="6"/>
      <c r="AE1460" s="75"/>
      <c r="AF1460" s="45"/>
    </row>
    <row r="1461" spans="2:32" customFormat="1" x14ac:dyDescent="0.25">
      <c r="B1461" s="127"/>
      <c r="D1461" s="234"/>
      <c r="E1461" s="234"/>
      <c r="V1461" s="262"/>
      <c r="W1461" s="254"/>
      <c r="X1461" s="254"/>
      <c r="Y1461" s="154"/>
      <c r="Z1461" s="6"/>
      <c r="AA1461" s="6"/>
      <c r="AB1461" s="6"/>
      <c r="AC1461" s="6"/>
      <c r="AD1461" s="6"/>
      <c r="AE1461" s="75"/>
      <c r="AF1461" s="45"/>
    </row>
    <row r="1462" spans="2:32" customFormat="1" x14ac:dyDescent="0.25">
      <c r="B1462" s="127"/>
      <c r="D1462" s="234"/>
      <c r="E1462" s="234"/>
      <c r="V1462" s="262"/>
      <c r="W1462" s="254"/>
      <c r="X1462" s="254"/>
      <c r="Y1462" s="154"/>
      <c r="Z1462" s="6"/>
      <c r="AA1462" s="6"/>
      <c r="AB1462" s="6"/>
      <c r="AC1462" s="6"/>
      <c r="AD1462" s="6"/>
      <c r="AE1462" s="75"/>
      <c r="AF1462" s="45"/>
    </row>
    <row r="1463" spans="2:32" customFormat="1" x14ac:dyDescent="0.25">
      <c r="B1463" s="127"/>
      <c r="D1463" s="234"/>
      <c r="E1463" s="234"/>
      <c r="V1463" s="262"/>
      <c r="W1463" s="254"/>
      <c r="X1463" s="254"/>
      <c r="Y1463" s="154"/>
      <c r="Z1463" s="6"/>
      <c r="AA1463" s="6"/>
      <c r="AB1463" s="6"/>
      <c r="AC1463" s="6"/>
      <c r="AD1463" s="6"/>
      <c r="AE1463" s="75"/>
      <c r="AF1463" s="45"/>
    </row>
    <row r="1464" spans="2:32" customFormat="1" x14ac:dyDescent="0.25">
      <c r="B1464" s="127"/>
      <c r="D1464" s="234"/>
      <c r="E1464" s="234"/>
      <c r="V1464" s="262"/>
      <c r="W1464" s="254"/>
      <c r="X1464" s="254"/>
      <c r="Y1464" s="154"/>
      <c r="Z1464" s="6"/>
      <c r="AA1464" s="6"/>
      <c r="AB1464" s="6"/>
      <c r="AC1464" s="6"/>
      <c r="AD1464" s="6"/>
      <c r="AE1464" s="75"/>
      <c r="AF1464" s="45"/>
    </row>
    <row r="1465" spans="2:32" customFormat="1" x14ac:dyDescent="0.25">
      <c r="B1465" s="127"/>
      <c r="D1465" s="234"/>
      <c r="E1465" s="234"/>
      <c r="V1465" s="262"/>
      <c r="W1465" s="254"/>
      <c r="X1465" s="254"/>
      <c r="Y1465" s="154"/>
      <c r="Z1465" s="6"/>
      <c r="AA1465" s="6"/>
      <c r="AB1465" s="6"/>
      <c r="AC1465" s="6"/>
      <c r="AD1465" s="6"/>
      <c r="AE1465" s="75"/>
      <c r="AF1465" s="45"/>
    </row>
    <row r="1466" spans="2:32" customFormat="1" x14ac:dyDescent="0.25">
      <c r="B1466" s="127"/>
      <c r="D1466" s="234"/>
      <c r="E1466" s="234"/>
      <c r="V1466" s="262"/>
      <c r="W1466" s="254"/>
      <c r="X1466" s="254"/>
      <c r="Y1466" s="154"/>
      <c r="Z1466" s="6"/>
      <c r="AA1466" s="6"/>
      <c r="AB1466" s="6"/>
      <c r="AC1466" s="6"/>
      <c r="AD1466" s="6"/>
      <c r="AE1466" s="75"/>
      <c r="AF1466" s="45"/>
    </row>
    <row r="1467" spans="2:32" customFormat="1" x14ac:dyDescent="0.25">
      <c r="B1467" s="127"/>
      <c r="D1467" s="234"/>
      <c r="E1467" s="234"/>
      <c r="V1467" s="262"/>
      <c r="W1467" s="254"/>
      <c r="X1467" s="254"/>
      <c r="Y1467" s="154"/>
      <c r="Z1467" s="6"/>
      <c r="AA1467" s="6"/>
      <c r="AB1467" s="6"/>
      <c r="AC1467" s="6"/>
      <c r="AD1467" s="6"/>
      <c r="AE1467" s="75"/>
      <c r="AF1467" s="45"/>
    </row>
    <row r="1468" spans="2:32" customFormat="1" x14ac:dyDescent="0.25">
      <c r="B1468" s="127"/>
      <c r="D1468" s="234"/>
      <c r="E1468" s="234"/>
      <c r="V1468" s="262"/>
      <c r="W1468" s="254"/>
      <c r="X1468" s="254"/>
      <c r="Y1468" s="154"/>
      <c r="Z1468" s="6"/>
      <c r="AA1468" s="6"/>
      <c r="AB1468" s="6"/>
      <c r="AC1468" s="6"/>
      <c r="AD1468" s="6"/>
      <c r="AE1468" s="75"/>
      <c r="AF1468" s="45"/>
    </row>
    <row r="1469" spans="2:32" customFormat="1" x14ac:dyDescent="0.25">
      <c r="B1469" s="127"/>
      <c r="D1469" s="234"/>
      <c r="E1469" s="234"/>
      <c r="V1469" s="262"/>
      <c r="W1469" s="254"/>
      <c r="X1469" s="254"/>
      <c r="Y1469" s="154"/>
      <c r="Z1469" s="6"/>
      <c r="AA1469" s="6"/>
      <c r="AB1469" s="6"/>
      <c r="AC1469" s="6"/>
      <c r="AD1469" s="6"/>
      <c r="AE1469" s="75"/>
      <c r="AF1469" s="45"/>
    </row>
    <row r="1470" spans="2:32" customFormat="1" x14ac:dyDescent="0.25">
      <c r="B1470" s="127"/>
      <c r="D1470" s="234"/>
      <c r="E1470" s="234"/>
      <c r="V1470" s="262"/>
      <c r="W1470" s="254"/>
      <c r="X1470" s="254"/>
      <c r="Y1470" s="154"/>
      <c r="Z1470" s="6"/>
      <c r="AA1470" s="6"/>
      <c r="AB1470" s="6"/>
      <c r="AC1470" s="6"/>
      <c r="AD1470" s="6"/>
      <c r="AE1470" s="75"/>
      <c r="AF1470" s="45"/>
    </row>
    <row r="1471" spans="2:32" customFormat="1" x14ac:dyDescent="0.25">
      <c r="B1471" s="127"/>
      <c r="D1471" s="234"/>
      <c r="E1471" s="234"/>
      <c r="V1471" s="262"/>
      <c r="W1471" s="254"/>
      <c r="X1471" s="254"/>
      <c r="Y1471" s="154"/>
      <c r="Z1471" s="6"/>
      <c r="AA1471" s="6"/>
      <c r="AB1471" s="6"/>
      <c r="AC1471" s="6"/>
      <c r="AD1471" s="6"/>
      <c r="AE1471" s="75"/>
      <c r="AF1471" s="45"/>
    </row>
    <row r="1472" spans="2:32" customFormat="1" x14ac:dyDescent="0.25">
      <c r="B1472" s="127"/>
      <c r="D1472" s="234"/>
      <c r="E1472" s="234"/>
      <c r="V1472" s="262"/>
      <c r="W1472" s="254"/>
      <c r="X1472" s="254"/>
      <c r="Y1472" s="154"/>
      <c r="Z1472" s="6"/>
      <c r="AA1472" s="6"/>
      <c r="AB1472" s="6"/>
      <c r="AC1472" s="6"/>
      <c r="AD1472" s="6"/>
      <c r="AE1472" s="75"/>
      <c r="AF1472" s="45"/>
    </row>
    <row r="1473" spans="2:32" customFormat="1" x14ac:dyDescent="0.25">
      <c r="B1473" s="127"/>
      <c r="D1473" s="234"/>
      <c r="E1473" s="234"/>
      <c r="V1473" s="262"/>
      <c r="W1473" s="254"/>
      <c r="X1473" s="254"/>
      <c r="Y1473" s="154"/>
      <c r="Z1473" s="6"/>
      <c r="AA1473" s="6"/>
      <c r="AB1473" s="6"/>
      <c r="AC1473" s="6"/>
      <c r="AD1473" s="6"/>
      <c r="AE1473" s="75"/>
      <c r="AF1473" s="45"/>
    </row>
    <row r="1474" spans="2:32" customFormat="1" x14ac:dyDescent="0.25">
      <c r="B1474" s="127"/>
      <c r="D1474" s="234"/>
      <c r="E1474" s="234"/>
      <c r="V1474" s="262"/>
      <c r="W1474" s="254"/>
      <c r="X1474" s="254"/>
      <c r="Y1474" s="154"/>
      <c r="Z1474" s="6"/>
      <c r="AA1474" s="6"/>
      <c r="AB1474" s="6"/>
      <c r="AC1474" s="6"/>
      <c r="AD1474" s="6"/>
      <c r="AE1474" s="75"/>
      <c r="AF1474" s="45"/>
    </row>
    <row r="1475" spans="2:32" customFormat="1" x14ac:dyDescent="0.25">
      <c r="B1475" s="127"/>
      <c r="D1475" s="234"/>
      <c r="E1475" s="234"/>
      <c r="V1475" s="262"/>
      <c r="W1475" s="254"/>
      <c r="X1475" s="254"/>
      <c r="Y1475" s="154"/>
      <c r="Z1475" s="6"/>
      <c r="AA1475" s="6"/>
      <c r="AB1475" s="6"/>
      <c r="AC1475" s="6"/>
      <c r="AD1475" s="6"/>
      <c r="AE1475" s="75"/>
      <c r="AF1475" s="45"/>
    </row>
    <row r="1476" spans="2:32" customFormat="1" x14ac:dyDescent="0.25">
      <c r="B1476" s="127"/>
      <c r="D1476" s="234"/>
      <c r="E1476" s="234"/>
      <c r="V1476" s="262"/>
      <c r="W1476" s="254"/>
      <c r="X1476" s="254"/>
      <c r="Y1476" s="154"/>
      <c r="Z1476" s="6"/>
      <c r="AA1476" s="6"/>
      <c r="AB1476" s="6"/>
      <c r="AC1476" s="6"/>
      <c r="AD1476" s="6"/>
      <c r="AE1476" s="75"/>
      <c r="AF1476" s="45"/>
    </row>
    <row r="1477" spans="2:32" customFormat="1" x14ac:dyDescent="0.25">
      <c r="B1477" s="127"/>
      <c r="D1477" s="234"/>
      <c r="E1477" s="234"/>
      <c r="V1477" s="262"/>
      <c r="W1477" s="254"/>
      <c r="X1477" s="254"/>
      <c r="Y1477" s="154"/>
      <c r="Z1477" s="6"/>
      <c r="AA1477" s="6"/>
      <c r="AB1477" s="6"/>
      <c r="AC1477" s="6"/>
      <c r="AD1477" s="6"/>
      <c r="AE1477" s="75"/>
      <c r="AF1477" s="45"/>
    </row>
    <row r="1478" spans="2:32" customFormat="1" x14ac:dyDescent="0.25">
      <c r="B1478" s="127"/>
      <c r="D1478" s="234"/>
      <c r="E1478" s="234"/>
      <c r="V1478" s="262"/>
      <c r="W1478" s="254"/>
      <c r="X1478" s="254"/>
      <c r="Y1478" s="154"/>
      <c r="Z1478" s="6"/>
      <c r="AA1478" s="6"/>
      <c r="AB1478" s="6"/>
      <c r="AC1478" s="6"/>
      <c r="AD1478" s="6"/>
      <c r="AE1478" s="75"/>
      <c r="AF1478" s="45"/>
    </row>
    <row r="1479" spans="2:32" customFormat="1" x14ac:dyDescent="0.25">
      <c r="B1479" s="127"/>
      <c r="D1479" s="234"/>
      <c r="E1479" s="234"/>
      <c r="V1479" s="262"/>
      <c r="W1479" s="254"/>
      <c r="X1479" s="254"/>
      <c r="Y1479" s="154"/>
      <c r="Z1479" s="6"/>
      <c r="AA1479" s="6"/>
      <c r="AB1479" s="6"/>
      <c r="AC1479" s="6"/>
      <c r="AD1479" s="6"/>
      <c r="AE1479" s="75"/>
      <c r="AF1479" s="45"/>
    </row>
    <row r="1480" spans="2:32" customFormat="1" x14ac:dyDescent="0.25">
      <c r="B1480" s="127"/>
      <c r="D1480" s="234"/>
      <c r="E1480" s="234"/>
      <c r="V1480" s="262"/>
      <c r="W1480" s="254"/>
      <c r="X1480" s="254"/>
      <c r="Y1480" s="154"/>
      <c r="Z1480" s="6"/>
      <c r="AA1480" s="6"/>
      <c r="AB1480" s="6"/>
      <c r="AC1480" s="6"/>
      <c r="AD1480" s="6"/>
      <c r="AE1480" s="75"/>
      <c r="AF1480" s="45"/>
    </row>
    <row r="1481" spans="2:32" customFormat="1" x14ac:dyDescent="0.25">
      <c r="B1481" s="127"/>
      <c r="D1481" s="234"/>
      <c r="E1481" s="234"/>
      <c r="V1481" s="262"/>
      <c r="W1481" s="254"/>
      <c r="X1481" s="254"/>
      <c r="Y1481" s="154"/>
      <c r="Z1481" s="6"/>
      <c r="AA1481" s="6"/>
      <c r="AB1481" s="6"/>
      <c r="AC1481" s="6"/>
      <c r="AD1481" s="6"/>
      <c r="AE1481" s="75"/>
      <c r="AF1481" s="45"/>
    </row>
    <row r="1482" spans="2:32" customFormat="1" x14ac:dyDescent="0.25">
      <c r="B1482" s="127"/>
      <c r="D1482" s="234"/>
      <c r="E1482" s="234"/>
      <c r="V1482" s="262"/>
      <c r="W1482" s="254"/>
      <c r="X1482" s="254"/>
      <c r="Y1482" s="154"/>
      <c r="Z1482" s="6"/>
      <c r="AA1482" s="6"/>
      <c r="AB1482" s="6"/>
      <c r="AC1482" s="6"/>
      <c r="AD1482" s="6"/>
      <c r="AE1482" s="75"/>
      <c r="AF1482" s="45"/>
    </row>
    <row r="1483" spans="2:32" customFormat="1" x14ac:dyDescent="0.25">
      <c r="B1483" s="127"/>
      <c r="D1483" s="234"/>
      <c r="E1483" s="234"/>
      <c r="V1483" s="262"/>
      <c r="W1483" s="254"/>
      <c r="X1483" s="254"/>
      <c r="Y1483" s="154"/>
      <c r="Z1483" s="6"/>
      <c r="AA1483" s="6"/>
      <c r="AB1483" s="6"/>
      <c r="AC1483" s="6"/>
      <c r="AD1483" s="6"/>
      <c r="AE1483" s="75"/>
      <c r="AF1483" s="45"/>
    </row>
    <row r="1484" spans="2:32" customFormat="1" x14ac:dyDescent="0.25">
      <c r="B1484" s="127"/>
      <c r="D1484" s="234"/>
      <c r="E1484" s="234"/>
      <c r="V1484" s="262"/>
      <c r="W1484" s="254"/>
      <c r="X1484" s="254"/>
      <c r="Y1484" s="154"/>
      <c r="Z1484" s="6"/>
      <c r="AA1484" s="6"/>
      <c r="AB1484" s="6"/>
      <c r="AC1484" s="6"/>
      <c r="AD1484" s="6"/>
      <c r="AE1484" s="75"/>
      <c r="AF1484" s="45"/>
    </row>
    <row r="1485" spans="2:32" customFormat="1" x14ac:dyDescent="0.25">
      <c r="B1485" s="127"/>
      <c r="D1485" s="234"/>
      <c r="E1485" s="234"/>
      <c r="V1485" s="262"/>
      <c r="W1485" s="254"/>
      <c r="X1485" s="254"/>
      <c r="Y1485" s="154"/>
      <c r="Z1485" s="6"/>
      <c r="AA1485" s="6"/>
      <c r="AB1485" s="6"/>
      <c r="AC1485" s="6"/>
      <c r="AD1485" s="6"/>
      <c r="AE1485" s="75"/>
      <c r="AF1485" s="45"/>
    </row>
    <row r="1486" spans="2:32" customFormat="1" x14ac:dyDescent="0.25">
      <c r="B1486" s="127"/>
      <c r="D1486" s="234"/>
      <c r="E1486" s="234"/>
      <c r="V1486" s="262"/>
      <c r="W1486" s="254"/>
      <c r="X1486" s="254"/>
      <c r="Y1486" s="154"/>
      <c r="Z1486" s="6"/>
      <c r="AA1486" s="6"/>
      <c r="AB1486" s="6"/>
      <c r="AC1486" s="6"/>
      <c r="AD1486" s="6"/>
      <c r="AE1486" s="75"/>
      <c r="AF1486" s="45"/>
    </row>
    <row r="1487" spans="2:32" customFormat="1" x14ac:dyDescent="0.25">
      <c r="B1487" s="127"/>
      <c r="D1487" s="234"/>
      <c r="E1487" s="234"/>
      <c r="V1487" s="262"/>
      <c r="W1487" s="254"/>
      <c r="X1487" s="254"/>
      <c r="Y1487" s="154"/>
      <c r="Z1487" s="6"/>
      <c r="AA1487" s="6"/>
      <c r="AB1487" s="6"/>
      <c r="AC1487" s="6"/>
      <c r="AD1487" s="6"/>
      <c r="AE1487" s="75"/>
      <c r="AF1487" s="45"/>
    </row>
    <row r="1488" spans="2:32" customFormat="1" x14ac:dyDescent="0.25">
      <c r="B1488" s="127"/>
      <c r="D1488" s="234"/>
      <c r="E1488" s="234"/>
      <c r="V1488" s="262"/>
      <c r="W1488" s="254"/>
      <c r="X1488" s="254"/>
      <c r="Y1488" s="154"/>
      <c r="Z1488" s="6"/>
      <c r="AA1488" s="6"/>
      <c r="AB1488" s="6"/>
      <c r="AC1488" s="6"/>
      <c r="AD1488" s="6"/>
      <c r="AE1488" s="75"/>
      <c r="AF1488" s="45"/>
    </row>
    <row r="1489" spans="2:32" customFormat="1" x14ac:dyDescent="0.25">
      <c r="B1489" s="127"/>
      <c r="D1489" s="234"/>
      <c r="E1489" s="234"/>
      <c r="V1489" s="262"/>
      <c r="W1489" s="254"/>
      <c r="X1489" s="254"/>
      <c r="Y1489" s="154"/>
      <c r="Z1489" s="6"/>
      <c r="AA1489" s="6"/>
      <c r="AB1489" s="6"/>
      <c r="AC1489" s="6"/>
      <c r="AD1489" s="6"/>
      <c r="AE1489" s="75"/>
      <c r="AF1489" s="45"/>
    </row>
    <row r="1490" spans="2:32" customFormat="1" x14ac:dyDescent="0.25">
      <c r="B1490" s="127"/>
      <c r="D1490" s="234"/>
      <c r="E1490" s="234"/>
      <c r="V1490" s="262"/>
      <c r="W1490" s="254"/>
      <c r="X1490" s="254"/>
      <c r="Y1490" s="154"/>
      <c r="Z1490" s="6"/>
      <c r="AA1490" s="6"/>
      <c r="AB1490" s="6"/>
      <c r="AC1490" s="6"/>
      <c r="AD1490" s="6"/>
      <c r="AE1490" s="75"/>
      <c r="AF1490" s="45"/>
    </row>
    <row r="1491" spans="2:32" customFormat="1" x14ac:dyDescent="0.25">
      <c r="B1491" s="127"/>
      <c r="D1491" s="234"/>
      <c r="E1491" s="234"/>
      <c r="V1491" s="262"/>
      <c r="W1491" s="254"/>
      <c r="X1491" s="254"/>
      <c r="Y1491" s="154"/>
      <c r="Z1491" s="6"/>
      <c r="AA1491" s="6"/>
      <c r="AB1491" s="6"/>
      <c r="AC1491" s="6"/>
      <c r="AD1491" s="6"/>
      <c r="AE1491" s="75"/>
      <c r="AF1491" s="45"/>
    </row>
    <row r="1492" spans="2:32" customFormat="1" x14ac:dyDescent="0.25">
      <c r="B1492" s="127"/>
      <c r="D1492" s="234"/>
      <c r="E1492" s="234"/>
      <c r="V1492" s="262"/>
      <c r="W1492" s="254"/>
      <c r="X1492" s="254"/>
      <c r="Y1492" s="154"/>
      <c r="Z1492" s="6"/>
      <c r="AA1492" s="6"/>
      <c r="AB1492" s="6"/>
      <c r="AC1492" s="6"/>
      <c r="AD1492" s="6"/>
      <c r="AE1492" s="75"/>
      <c r="AF1492" s="45"/>
    </row>
    <row r="1493" spans="2:32" customFormat="1" x14ac:dyDescent="0.25">
      <c r="B1493" s="127"/>
      <c r="D1493" s="234"/>
      <c r="E1493" s="234"/>
      <c r="V1493" s="262"/>
      <c r="W1493" s="254"/>
      <c r="X1493" s="254"/>
      <c r="Y1493" s="154"/>
      <c r="Z1493" s="6"/>
      <c r="AA1493" s="6"/>
      <c r="AB1493" s="6"/>
      <c r="AC1493" s="6"/>
      <c r="AD1493" s="6"/>
      <c r="AE1493" s="75"/>
      <c r="AF1493" s="45"/>
    </row>
    <row r="1494" spans="2:32" customFormat="1" x14ac:dyDescent="0.25">
      <c r="B1494" s="127"/>
      <c r="D1494" s="234"/>
      <c r="E1494" s="234"/>
      <c r="V1494" s="262"/>
      <c r="W1494" s="254"/>
      <c r="X1494" s="254"/>
      <c r="Y1494" s="154"/>
      <c r="Z1494" s="6"/>
      <c r="AA1494" s="6"/>
      <c r="AB1494" s="6"/>
      <c r="AC1494" s="6"/>
      <c r="AD1494" s="6"/>
      <c r="AE1494" s="75"/>
      <c r="AF1494" s="45"/>
    </row>
    <row r="1495" spans="2:32" customFormat="1" x14ac:dyDescent="0.25">
      <c r="B1495" s="127"/>
      <c r="D1495" s="234"/>
      <c r="E1495" s="234"/>
      <c r="V1495" s="262"/>
      <c r="W1495" s="254"/>
      <c r="X1495" s="254"/>
      <c r="Y1495" s="154"/>
      <c r="Z1495" s="6"/>
      <c r="AA1495" s="6"/>
      <c r="AB1495" s="6"/>
      <c r="AC1495" s="6"/>
      <c r="AD1495" s="6"/>
      <c r="AE1495" s="75"/>
      <c r="AF1495" s="45"/>
    </row>
    <row r="1496" spans="2:32" customFormat="1" x14ac:dyDescent="0.25">
      <c r="B1496" s="127"/>
      <c r="D1496" s="234"/>
      <c r="E1496" s="234"/>
      <c r="V1496" s="262"/>
      <c r="W1496" s="254"/>
      <c r="X1496" s="254"/>
      <c r="Y1496" s="154"/>
      <c r="Z1496" s="6"/>
      <c r="AA1496" s="6"/>
      <c r="AB1496" s="6"/>
      <c r="AC1496" s="6"/>
      <c r="AD1496" s="6"/>
      <c r="AE1496" s="75"/>
      <c r="AF1496" s="45"/>
    </row>
    <row r="1497" spans="2:32" customFormat="1" x14ac:dyDescent="0.25">
      <c r="B1497" s="127"/>
      <c r="D1497" s="234"/>
      <c r="E1497" s="234"/>
      <c r="V1497" s="262"/>
      <c r="W1497" s="254"/>
      <c r="X1497" s="254"/>
      <c r="Y1497" s="154"/>
      <c r="Z1497" s="6"/>
      <c r="AA1497" s="6"/>
      <c r="AB1497" s="6"/>
      <c r="AC1497" s="6"/>
      <c r="AD1497" s="6"/>
      <c r="AE1497" s="75"/>
      <c r="AF1497" s="45"/>
    </row>
    <row r="1498" spans="2:32" customFormat="1" x14ac:dyDescent="0.25">
      <c r="B1498" s="127"/>
      <c r="D1498" s="234"/>
      <c r="E1498" s="234"/>
      <c r="V1498" s="262"/>
      <c r="W1498" s="254"/>
      <c r="X1498" s="254"/>
      <c r="Y1498" s="154"/>
      <c r="Z1498" s="6"/>
      <c r="AA1498" s="6"/>
      <c r="AB1498" s="6"/>
      <c r="AC1498" s="6"/>
      <c r="AD1498" s="6"/>
      <c r="AE1498" s="75"/>
      <c r="AF1498" s="45"/>
    </row>
    <row r="1499" spans="2:32" customFormat="1" x14ac:dyDescent="0.25">
      <c r="B1499" s="127"/>
      <c r="D1499" s="234"/>
      <c r="E1499" s="234"/>
      <c r="V1499" s="262"/>
      <c r="W1499" s="254"/>
      <c r="X1499" s="254"/>
      <c r="Y1499" s="154"/>
      <c r="Z1499" s="6"/>
      <c r="AA1499" s="6"/>
      <c r="AB1499" s="6"/>
      <c r="AC1499" s="6"/>
      <c r="AD1499" s="6"/>
      <c r="AE1499" s="75"/>
      <c r="AF1499" s="45"/>
    </row>
    <row r="1500" spans="2:32" customFormat="1" x14ac:dyDescent="0.25">
      <c r="B1500" s="127"/>
      <c r="D1500" s="234"/>
      <c r="E1500" s="234"/>
      <c r="V1500" s="262"/>
      <c r="W1500" s="254"/>
      <c r="X1500" s="254"/>
      <c r="Y1500" s="154"/>
      <c r="Z1500" s="6"/>
      <c r="AA1500" s="6"/>
      <c r="AB1500" s="6"/>
      <c r="AC1500" s="6"/>
      <c r="AD1500" s="6"/>
      <c r="AE1500" s="75"/>
      <c r="AF1500" s="45"/>
    </row>
    <row r="1501" spans="2:32" customFormat="1" x14ac:dyDescent="0.25">
      <c r="B1501" s="127"/>
      <c r="D1501" s="234"/>
      <c r="E1501" s="234"/>
      <c r="V1501" s="262"/>
      <c r="W1501" s="254"/>
      <c r="X1501" s="254"/>
      <c r="Y1501" s="154"/>
      <c r="Z1501" s="6"/>
      <c r="AA1501" s="6"/>
      <c r="AB1501" s="6"/>
      <c r="AC1501" s="6"/>
      <c r="AD1501" s="6"/>
      <c r="AE1501" s="75"/>
      <c r="AF1501" s="45"/>
    </row>
    <row r="1502" spans="2:32" customFormat="1" x14ac:dyDescent="0.25">
      <c r="B1502" s="127"/>
      <c r="D1502" s="234"/>
      <c r="E1502" s="234"/>
      <c r="V1502" s="262"/>
      <c r="W1502" s="254"/>
      <c r="X1502" s="254"/>
      <c r="Y1502" s="154"/>
      <c r="Z1502" s="6"/>
      <c r="AA1502" s="6"/>
      <c r="AB1502" s="6"/>
      <c r="AC1502" s="6"/>
      <c r="AD1502" s="6"/>
      <c r="AE1502" s="75"/>
      <c r="AF1502" s="45"/>
    </row>
    <row r="1503" spans="2:32" customFormat="1" x14ac:dyDescent="0.25">
      <c r="B1503" s="127"/>
      <c r="D1503" s="234"/>
      <c r="E1503" s="234"/>
      <c r="V1503" s="262"/>
      <c r="W1503" s="254"/>
      <c r="X1503" s="254"/>
      <c r="Y1503" s="154"/>
      <c r="Z1503" s="6"/>
      <c r="AA1503" s="6"/>
      <c r="AB1503" s="6"/>
      <c r="AC1503" s="6"/>
      <c r="AD1503" s="6"/>
      <c r="AE1503" s="75"/>
      <c r="AF1503" s="45"/>
    </row>
    <row r="1504" spans="2:32" customFormat="1" x14ac:dyDescent="0.25">
      <c r="B1504" s="127"/>
      <c r="D1504" s="234"/>
      <c r="E1504" s="234"/>
      <c r="V1504" s="262"/>
      <c r="W1504" s="254"/>
      <c r="X1504" s="254"/>
      <c r="Y1504" s="154"/>
      <c r="Z1504" s="6"/>
      <c r="AA1504" s="6"/>
      <c r="AB1504" s="6"/>
      <c r="AC1504" s="6"/>
      <c r="AD1504" s="6"/>
      <c r="AE1504" s="75"/>
      <c r="AF1504" s="45"/>
    </row>
    <row r="1505" spans="2:32" customFormat="1" x14ac:dyDescent="0.25">
      <c r="B1505" s="127"/>
      <c r="D1505" s="234"/>
      <c r="E1505" s="234"/>
      <c r="V1505" s="262"/>
      <c r="W1505" s="254"/>
      <c r="X1505" s="254"/>
      <c r="Y1505" s="154"/>
      <c r="Z1505" s="6"/>
      <c r="AA1505" s="6"/>
      <c r="AB1505" s="6"/>
      <c r="AC1505" s="6"/>
      <c r="AD1505" s="6"/>
      <c r="AE1505" s="75"/>
      <c r="AF1505" s="45"/>
    </row>
    <row r="1506" spans="2:32" customFormat="1" x14ac:dyDescent="0.25">
      <c r="B1506" s="127"/>
      <c r="D1506" s="234"/>
      <c r="E1506" s="234"/>
      <c r="V1506" s="262"/>
      <c r="W1506" s="254"/>
      <c r="X1506" s="254"/>
      <c r="Y1506" s="154"/>
      <c r="Z1506" s="6"/>
      <c r="AA1506" s="6"/>
      <c r="AB1506" s="6"/>
      <c r="AC1506" s="6"/>
      <c r="AD1506" s="6"/>
      <c r="AE1506" s="75"/>
      <c r="AF1506" s="45"/>
    </row>
    <row r="1507" spans="2:32" customFormat="1" x14ac:dyDescent="0.25">
      <c r="B1507" s="127"/>
      <c r="D1507" s="234"/>
      <c r="E1507" s="234"/>
      <c r="V1507" s="262"/>
      <c r="W1507" s="254"/>
      <c r="X1507" s="254"/>
      <c r="Y1507" s="154"/>
      <c r="Z1507" s="6"/>
      <c r="AA1507" s="6"/>
      <c r="AB1507" s="6"/>
      <c r="AC1507" s="6"/>
      <c r="AD1507" s="6"/>
      <c r="AE1507" s="75"/>
      <c r="AF1507" s="45"/>
    </row>
    <row r="1508" spans="2:32" customFormat="1" x14ac:dyDescent="0.25">
      <c r="B1508" s="127"/>
      <c r="D1508" s="234"/>
      <c r="E1508" s="234"/>
      <c r="V1508" s="262"/>
      <c r="W1508" s="254"/>
      <c r="X1508" s="254"/>
      <c r="Y1508" s="154"/>
      <c r="Z1508" s="6"/>
      <c r="AA1508" s="6"/>
      <c r="AB1508" s="6"/>
      <c r="AC1508" s="6"/>
      <c r="AD1508" s="6"/>
      <c r="AE1508" s="75"/>
      <c r="AF1508" s="45"/>
    </row>
    <row r="1509" spans="2:32" customFormat="1" x14ac:dyDescent="0.25">
      <c r="B1509" s="127"/>
      <c r="D1509" s="234"/>
      <c r="E1509" s="234"/>
      <c r="V1509" s="262"/>
      <c r="W1509" s="254"/>
      <c r="X1509" s="254"/>
      <c r="Y1509" s="154"/>
      <c r="Z1509" s="6"/>
      <c r="AA1509" s="6"/>
      <c r="AB1509" s="6"/>
      <c r="AC1509" s="6"/>
      <c r="AD1509" s="6"/>
      <c r="AE1509" s="75"/>
      <c r="AF1509" s="45"/>
    </row>
    <row r="1510" spans="2:32" customFormat="1" x14ac:dyDescent="0.25">
      <c r="B1510" s="127"/>
      <c r="D1510" s="234"/>
      <c r="E1510" s="234"/>
      <c r="V1510" s="262"/>
      <c r="W1510" s="254"/>
      <c r="X1510" s="254"/>
      <c r="Y1510" s="154"/>
      <c r="Z1510" s="6"/>
      <c r="AA1510" s="6"/>
      <c r="AB1510" s="6"/>
      <c r="AC1510" s="6"/>
      <c r="AD1510" s="6"/>
      <c r="AE1510" s="75"/>
      <c r="AF1510" s="45"/>
    </row>
    <row r="1511" spans="2:32" customFormat="1" x14ac:dyDescent="0.25">
      <c r="B1511" s="127"/>
      <c r="D1511" s="234"/>
      <c r="E1511" s="234"/>
      <c r="V1511" s="262"/>
      <c r="W1511" s="254"/>
      <c r="X1511" s="254"/>
      <c r="Y1511" s="154"/>
      <c r="Z1511" s="6"/>
      <c r="AA1511" s="6"/>
      <c r="AB1511" s="6"/>
      <c r="AC1511" s="6"/>
      <c r="AD1511" s="6"/>
      <c r="AE1511" s="75"/>
      <c r="AF1511" s="45"/>
    </row>
    <row r="1512" spans="2:32" customFormat="1" x14ac:dyDescent="0.25">
      <c r="B1512" s="127"/>
      <c r="D1512" s="234"/>
      <c r="E1512" s="234"/>
      <c r="V1512" s="262"/>
      <c r="W1512" s="254"/>
      <c r="X1512" s="254"/>
      <c r="Y1512" s="154"/>
      <c r="Z1512" s="6"/>
      <c r="AA1512" s="6"/>
      <c r="AB1512" s="6"/>
      <c r="AC1512" s="6"/>
      <c r="AD1512" s="6"/>
      <c r="AE1512" s="75"/>
      <c r="AF1512" s="45"/>
    </row>
    <row r="1513" spans="2:32" customFormat="1" x14ac:dyDescent="0.25">
      <c r="B1513" s="127"/>
      <c r="D1513" s="234"/>
      <c r="E1513" s="234"/>
      <c r="V1513" s="262"/>
      <c r="W1513" s="254"/>
      <c r="X1513" s="254"/>
      <c r="Y1513" s="154"/>
      <c r="Z1513" s="6"/>
      <c r="AA1513" s="6"/>
      <c r="AB1513" s="6"/>
      <c r="AC1513" s="6"/>
      <c r="AD1513" s="6"/>
      <c r="AE1513" s="75"/>
      <c r="AF1513" s="45"/>
    </row>
    <row r="1514" spans="2:32" customFormat="1" x14ac:dyDescent="0.25">
      <c r="B1514" s="127"/>
      <c r="D1514" s="234"/>
      <c r="E1514" s="234"/>
      <c r="V1514" s="262"/>
      <c r="W1514" s="254"/>
      <c r="X1514" s="254"/>
      <c r="Y1514" s="154"/>
      <c r="Z1514" s="6"/>
      <c r="AA1514" s="6"/>
      <c r="AB1514" s="6"/>
      <c r="AC1514" s="6"/>
      <c r="AD1514" s="6"/>
      <c r="AE1514" s="75"/>
      <c r="AF1514" s="45"/>
    </row>
    <row r="1515" spans="2:32" customFormat="1" x14ac:dyDescent="0.25">
      <c r="B1515" s="127"/>
      <c r="D1515" s="234"/>
      <c r="E1515" s="234"/>
      <c r="V1515" s="262"/>
      <c r="W1515" s="254"/>
      <c r="X1515" s="254"/>
      <c r="Y1515" s="154"/>
      <c r="Z1515" s="6"/>
      <c r="AA1515" s="6"/>
      <c r="AB1515" s="6"/>
      <c r="AC1515" s="6"/>
      <c r="AD1515" s="6"/>
      <c r="AE1515" s="75"/>
      <c r="AF1515" s="45"/>
    </row>
    <row r="1516" spans="2:32" customFormat="1" x14ac:dyDescent="0.25">
      <c r="B1516" s="127"/>
      <c r="D1516" s="234"/>
      <c r="E1516" s="234"/>
      <c r="V1516" s="262"/>
      <c r="W1516" s="254"/>
      <c r="X1516" s="254"/>
      <c r="Y1516" s="154"/>
      <c r="Z1516" s="6"/>
      <c r="AA1516" s="6"/>
      <c r="AB1516" s="6"/>
      <c r="AC1516" s="6"/>
      <c r="AD1516" s="6"/>
      <c r="AE1516" s="75"/>
      <c r="AF1516" s="45"/>
    </row>
    <row r="1517" spans="2:32" customFormat="1" x14ac:dyDescent="0.25">
      <c r="B1517" s="127"/>
      <c r="D1517" s="234"/>
      <c r="E1517" s="234"/>
      <c r="V1517" s="262"/>
      <c r="W1517" s="254"/>
      <c r="X1517" s="254"/>
      <c r="Y1517" s="154"/>
      <c r="Z1517" s="6"/>
      <c r="AA1517" s="6"/>
      <c r="AB1517" s="6"/>
      <c r="AC1517" s="6"/>
      <c r="AD1517" s="6"/>
      <c r="AE1517" s="75"/>
      <c r="AF1517" s="45"/>
    </row>
    <row r="1518" spans="2:32" customFormat="1" x14ac:dyDescent="0.25">
      <c r="B1518" s="127"/>
      <c r="D1518" s="234"/>
      <c r="E1518" s="234"/>
      <c r="V1518" s="262"/>
      <c r="W1518" s="254"/>
      <c r="X1518" s="254"/>
      <c r="Y1518" s="154"/>
      <c r="Z1518" s="6"/>
      <c r="AA1518" s="6"/>
      <c r="AB1518" s="6"/>
      <c r="AC1518" s="6"/>
      <c r="AD1518" s="6"/>
      <c r="AE1518" s="75"/>
      <c r="AF1518" s="45"/>
    </row>
    <row r="1519" spans="2:32" customFormat="1" x14ac:dyDescent="0.25">
      <c r="B1519" s="127"/>
      <c r="D1519" s="234"/>
      <c r="E1519" s="234"/>
      <c r="V1519" s="262"/>
      <c r="W1519" s="254"/>
      <c r="X1519" s="254"/>
      <c r="Y1519" s="154"/>
      <c r="Z1519" s="6"/>
      <c r="AA1519" s="6"/>
      <c r="AB1519" s="6"/>
      <c r="AC1519" s="6"/>
      <c r="AD1519" s="6"/>
      <c r="AE1519" s="75"/>
      <c r="AF1519" s="45"/>
    </row>
    <row r="1520" spans="2:32" customFormat="1" x14ac:dyDescent="0.25">
      <c r="B1520" s="127"/>
      <c r="D1520" s="234"/>
      <c r="E1520" s="234"/>
      <c r="V1520" s="262"/>
      <c r="W1520" s="254"/>
      <c r="X1520" s="254"/>
      <c r="Y1520" s="154"/>
      <c r="Z1520" s="6"/>
      <c r="AA1520" s="6"/>
      <c r="AB1520" s="6"/>
      <c r="AC1520" s="6"/>
      <c r="AD1520" s="6"/>
      <c r="AE1520" s="75"/>
      <c r="AF1520" s="45"/>
    </row>
    <row r="1521" spans="2:32" customFormat="1" x14ac:dyDescent="0.25">
      <c r="B1521" s="127"/>
      <c r="D1521" s="234"/>
      <c r="E1521" s="234"/>
      <c r="V1521" s="262"/>
      <c r="W1521" s="254"/>
      <c r="X1521" s="254"/>
      <c r="Y1521" s="154"/>
      <c r="Z1521" s="6"/>
      <c r="AA1521" s="6"/>
      <c r="AB1521" s="6"/>
      <c r="AC1521" s="6"/>
      <c r="AD1521" s="6"/>
      <c r="AE1521" s="75"/>
      <c r="AF1521" s="45"/>
    </row>
    <row r="1522" spans="2:32" customFormat="1" x14ac:dyDescent="0.25">
      <c r="B1522" s="127"/>
      <c r="D1522" s="234"/>
      <c r="E1522" s="234"/>
      <c r="V1522" s="262"/>
      <c r="W1522" s="254"/>
      <c r="X1522" s="254"/>
      <c r="Y1522" s="154"/>
      <c r="Z1522" s="6"/>
      <c r="AA1522" s="6"/>
      <c r="AB1522" s="6"/>
      <c r="AC1522" s="6"/>
      <c r="AD1522" s="6"/>
      <c r="AE1522" s="75"/>
      <c r="AF1522" s="45"/>
    </row>
    <row r="1523" spans="2:32" customFormat="1" x14ac:dyDescent="0.25">
      <c r="B1523" s="127"/>
      <c r="D1523" s="234"/>
      <c r="E1523" s="234"/>
      <c r="V1523" s="262"/>
      <c r="W1523" s="254"/>
      <c r="X1523" s="254"/>
      <c r="Y1523" s="154"/>
      <c r="Z1523" s="6"/>
      <c r="AA1523" s="6"/>
      <c r="AB1523" s="6"/>
      <c r="AC1523" s="6"/>
      <c r="AD1523" s="6"/>
      <c r="AE1523" s="75"/>
      <c r="AF1523" s="45"/>
    </row>
    <row r="1524" spans="2:32" customFormat="1" x14ac:dyDescent="0.25">
      <c r="B1524" s="127"/>
      <c r="D1524" s="234"/>
      <c r="E1524" s="234"/>
      <c r="V1524" s="262"/>
      <c r="W1524" s="254"/>
      <c r="X1524" s="254"/>
      <c r="Y1524" s="154"/>
      <c r="Z1524" s="6"/>
      <c r="AA1524" s="6"/>
      <c r="AB1524" s="6"/>
      <c r="AC1524" s="6"/>
      <c r="AD1524" s="6"/>
      <c r="AE1524" s="75"/>
      <c r="AF1524" s="45"/>
    </row>
    <row r="1525" spans="2:32" customFormat="1" x14ac:dyDescent="0.25">
      <c r="B1525" s="127"/>
      <c r="D1525" s="234"/>
      <c r="E1525" s="234"/>
      <c r="V1525" s="262"/>
      <c r="W1525" s="254"/>
      <c r="X1525" s="254"/>
      <c r="Y1525" s="154"/>
      <c r="Z1525" s="6"/>
      <c r="AA1525" s="6"/>
      <c r="AB1525" s="6"/>
      <c r="AC1525" s="6"/>
      <c r="AD1525" s="6"/>
      <c r="AE1525" s="75"/>
      <c r="AF1525" s="45"/>
    </row>
    <row r="1526" spans="2:32" customFormat="1" x14ac:dyDescent="0.25">
      <c r="B1526" s="127"/>
      <c r="D1526" s="234"/>
      <c r="E1526" s="234"/>
      <c r="V1526" s="262"/>
      <c r="W1526" s="254"/>
      <c r="X1526" s="254"/>
      <c r="Y1526" s="154"/>
      <c r="Z1526" s="6"/>
      <c r="AA1526" s="6"/>
      <c r="AB1526" s="6"/>
      <c r="AC1526" s="6"/>
      <c r="AD1526" s="6"/>
      <c r="AE1526" s="75"/>
      <c r="AF1526" s="45"/>
    </row>
    <row r="1527" spans="2:32" customFormat="1" x14ac:dyDescent="0.25">
      <c r="B1527" s="127"/>
      <c r="D1527" s="234"/>
      <c r="E1527" s="234"/>
      <c r="V1527" s="262"/>
      <c r="W1527" s="254"/>
      <c r="X1527" s="254"/>
      <c r="Y1527" s="154"/>
      <c r="Z1527" s="6"/>
      <c r="AA1527" s="6"/>
      <c r="AB1527" s="6"/>
      <c r="AC1527" s="6"/>
      <c r="AD1527" s="6"/>
      <c r="AE1527" s="75"/>
      <c r="AF1527" s="45"/>
    </row>
    <row r="1528" spans="2:32" customFormat="1" x14ac:dyDescent="0.25">
      <c r="B1528" s="127"/>
      <c r="D1528" s="234"/>
      <c r="E1528" s="234"/>
      <c r="V1528" s="262"/>
      <c r="W1528" s="254"/>
      <c r="X1528" s="254"/>
      <c r="Y1528" s="154"/>
      <c r="Z1528" s="6"/>
      <c r="AA1528" s="6"/>
      <c r="AB1528" s="6"/>
      <c r="AC1528" s="6"/>
      <c r="AD1528" s="6"/>
      <c r="AE1528" s="75"/>
      <c r="AF1528" s="45"/>
    </row>
    <row r="1529" spans="2:32" customFormat="1" x14ac:dyDescent="0.25">
      <c r="B1529" s="127"/>
      <c r="D1529" s="234"/>
      <c r="E1529" s="234"/>
      <c r="V1529" s="262"/>
      <c r="W1529" s="254"/>
      <c r="X1529" s="254"/>
      <c r="Y1529" s="154"/>
      <c r="Z1529" s="6"/>
      <c r="AA1529" s="6"/>
      <c r="AB1529" s="6"/>
      <c r="AC1529" s="6"/>
      <c r="AD1529" s="6"/>
      <c r="AE1529" s="75"/>
      <c r="AF1529" s="45"/>
    </row>
    <row r="1530" spans="2:32" customFormat="1" x14ac:dyDescent="0.25">
      <c r="B1530" s="127"/>
      <c r="D1530" s="234"/>
      <c r="E1530" s="234"/>
      <c r="V1530" s="262"/>
      <c r="W1530" s="254"/>
      <c r="X1530" s="254"/>
      <c r="Y1530" s="154"/>
      <c r="Z1530" s="6"/>
      <c r="AA1530" s="6"/>
      <c r="AB1530" s="6"/>
      <c r="AC1530" s="6"/>
      <c r="AD1530" s="6"/>
      <c r="AE1530" s="75"/>
      <c r="AF1530" s="45"/>
    </row>
    <row r="1531" spans="2:32" customFormat="1" x14ac:dyDescent="0.25">
      <c r="B1531" s="127"/>
      <c r="D1531" s="234"/>
      <c r="E1531" s="234"/>
      <c r="V1531" s="262"/>
      <c r="W1531" s="254"/>
      <c r="X1531" s="254"/>
      <c r="Y1531" s="154"/>
      <c r="Z1531" s="6"/>
      <c r="AA1531" s="6"/>
      <c r="AB1531" s="6"/>
      <c r="AC1531" s="6"/>
      <c r="AD1531" s="6"/>
      <c r="AE1531" s="75"/>
      <c r="AF1531" s="45"/>
    </row>
    <row r="1532" spans="2:32" customFormat="1" x14ac:dyDescent="0.25">
      <c r="B1532" s="127"/>
      <c r="D1532" s="234"/>
      <c r="E1532" s="234"/>
      <c r="V1532" s="262"/>
      <c r="W1532" s="254"/>
      <c r="X1532" s="254"/>
      <c r="Y1532" s="154"/>
      <c r="Z1532" s="6"/>
      <c r="AA1532" s="6"/>
      <c r="AB1532" s="6"/>
      <c r="AC1532" s="6"/>
      <c r="AD1532" s="6"/>
      <c r="AE1532" s="75"/>
      <c r="AF1532" s="45"/>
    </row>
    <row r="1533" spans="2:32" customFormat="1" x14ac:dyDescent="0.25">
      <c r="B1533" s="127"/>
      <c r="D1533" s="234"/>
      <c r="E1533" s="234"/>
      <c r="V1533" s="262"/>
      <c r="W1533" s="254"/>
      <c r="X1533" s="254"/>
      <c r="Y1533" s="154"/>
      <c r="Z1533" s="6"/>
      <c r="AA1533" s="6"/>
      <c r="AB1533" s="6"/>
      <c r="AC1533" s="6"/>
      <c r="AD1533" s="6"/>
      <c r="AE1533" s="75"/>
      <c r="AF1533" s="45"/>
    </row>
    <row r="1534" spans="2:32" customFormat="1" x14ac:dyDescent="0.25">
      <c r="B1534" s="127"/>
      <c r="D1534" s="234"/>
      <c r="E1534" s="234"/>
      <c r="V1534" s="262"/>
      <c r="W1534" s="254"/>
      <c r="X1534" s="254"/>
      <c r="Y1534" s="154"/>
      <c r="Z1534" s="6"/>
      <c r="AA1534" s="6"/>
      <c r="AB1534" s="6"/>
      <c r="AC1534" s="6"/>
      <c r="AD1534" s="6"/>
      <c r="AE1534" s="75"/>
      <c r="AF1534" s="45"/>
    </row>
    <row r="1535" spans="2:32" customFormat="1" x14ac:dyDescent="0.25">
      <c r="B1535" s="127"/>
      <c r="D1535" s="234"/>
      <c r="E1535" s="234"/>
      <c r="V1535" s="262"/>
      <c r="W1535" s="254"/>
      <c r="X1535" s="254"/>
      <c r="Y1535" s="154"/>
      <c r="Z1535" s="6"/>
      <c r="AA1535" s="6"/>
      <c r="AB1535" s="6"/>
      <c r="AC1535" s="6"/>
      <c r="AD1535" s="6"/>
      <c r="AE1535" s="75"/>
      <c r="AF1535" s="45"/>
    </row>
    <row r="1536" spans="2:32" customFormat="1" x14ac:dyDescent="0.25">
      <c r="B1536" s="127"/>
      <c r="D1536" s="234"/>
      <c r="E1536" s="234"/>
      <c r="V1536" s="262"/>
      <c r="W1536" s="254"/>
      <c r="X1536" s="254"/>
      <c r="Y1536" s="154"/>
      <c r="Z1536" s="6"/>
      <c r="AA1536" s="6"/>
      <c r="AB1536" s="6"/>
      <c r="AC1536" s="6"/>
      <c r="AD1536" s="6"/>
      <c r="AE1536" s="75"/>
      <c r="AF1536" s="45"/>
    </row>
    <row r="1537" spans="2:32" customFormat="1" x14ac:dyDescent="0.25">
      <c r="B1537" s="127"/>
      <c r="D1537" s="234"/>
      <c r="E1537" s="234"/>
      <c r="V1537" s="262"/>
      <c r="W1537" s="254"/>
      <c r="X1537" s="254"/>
      <c r="Y1537" s="154"/>
      <c r="Z1537" s="6"/>
      <c r="AA1537" s="6"/>
      <c r="AB1537" s="6"/>
      <c r="AC1537" s="6"/>
      <c r="AD1537" s="6"/>
      <c r="AE1537" s="75"/>
      <c r="AF1537" s="45"/>
    </row>
    <row r="1538" spans="2:32" customFormat="1" x14ac:dyDescent="0.25">
      <c r="B1538" s="127"/>
      <c r="D1538" s="234"/>
      <c r="E1538" s="234"/>
      <c r="V1538" s="262"/>
      <c r="W1538" s="254"/>
      <c r="X1538" s="254"/>
      <c r="Y1538" s="154"/>
      <c r="Z1538" s="6"/>
      <c r="AA1538" s="6"/>
      <c r="AB1538" s="6"/>
      <c r="AC1538" s="6"/>
      <c r="AD1538" s="6"/>
      <c r="AE1538" s="75"/>
      <c r="AF1538" s="45"/>
    </row>
    <row r="1539" spans="2:32" customFormat="1" x14ac:dyDescent="0.25">
      <c r="B1539" s="127"/>
      <c r="D1539" s="234"/>
      <c r="E1539" s="234"/>
      <c r="V1539" s="262"/>
      <c r="W1539" s="254"/>
      <c r="X1539" s="254"/>
      <c r="Y1539" s="154"/>
      <c r="Z1539" s="6"/>
      <c r="AA1539" s="6"/>
      <c r="AB1539" s="6"/>
      <c r="AC1539" s="6"/>
      <c r="AD1539" s="6"/>
      <c r="AE1539" s="75"/>
      <c r="AF1539" s="45"/>
    </row>
    <row r="1540" spans="2:32" customFormat="1" x14ac:dyDescent="0.25">
      <c r="B1540" s="127"/>
      <c r="D1540" s="234"/>
      <c r="E1540" s="234"/>
      <c r="V1540" s="262"/>
      <c r="W1540" s="254"/>
      <c r="X1540" s="254"/>
      <c r="Y1540" s="154"/>
      <c r="Z1540" s="6"/>
      <c r="AA1540" s="6"/>
      <c r="AB1540" s="6"/>
      <c r="AC1540" s="6"/>
      <c r="AD1540" s="6"/>
      <c r="AE1540" s="75"/>
      <c r="AF1540" s="45"/>
    </row>
    <row r="1541" spans="2:32" customFormat="1" x14ac:dyDescent="0.25">
      <c r="B1541" s="127"/>
      <c r="D1541" s="234"/>
      <c r="E1541" s="234"/>
      <c r="V1541" s="262"/>
      <c r="W1541" s="254"/>
      <c r="X1541" s="254"/>
      <c r="Y1541" s="154"/>
      <c r="Z1541" s="6"/>
      <c r="AA1541" s="6"/>
      <c r="AB1541" s="6"/>
      <c r="AC1541" s="6"/>
      <c r="AD1541" s="6"/>
      <c r="AE1541" s="75"/>
      <c r="AF1541" s="45"/>
    </row>
    <row r="1542" spans="2:32" customFormat="1" x14ac:dyDescent="0.25">
      <c r="B1542" s="127"/>
      <c r="D1542" s="234"/>
      <c r="E1542" s="234"/>
      <c r="V1542" s="262"/>
      <c r="W1542" s="254"/>
      <c r="X1542" s="254"/>
      <c r="Y1542" s="154"/>
      <c r="Z1542" s="6"/>
      <c r="AA1542" s="6"/>
      <c r="AB1542" s="6"/>
      <c r="AC1542" s="6"/>
      <c r="AD1542" s="6"/>
      <c r="AE1542" s="75"/>
      <c r="AF1542" s="45"/>
    </row>
    <row r="1543" spans="2:32" customFormat="1" x14ac:dyDescent="0.25">
      <c r="B1543" s="127"/>
      <c r="D1543" s="234"/>
      <c r="E1543" s="234"/>
      <c r="V1543" s="262"/>
      <c r="W1543" s="254"/>
      <c r="X1543" s="254"/>
      <c r="Y1543" s="154"/>
      <c r="Z1543" s="6"/>
      <c r="AA1543" s="6"/>
      <c r="AB1543" s="6"/>
      <c r="AC1543" s="6"/>
      <c r="AD1543" s="6"/>
      <c r="AE1543" s="75"/>
      <c r="AF1543" s="45"/>
    </row>
    <row r="1544" spans="2:32" customFormat="1" x14ac:dyDescent="0.25">
      <c r="B1544" s="127"/>
      <c r="D1544" s="234"/>
      <c r="E1544" s="234"/>
      <c r="V1544" s="262"/>
      <c r="W1544" s="254"/>
      <c r="X1544" s="254"/>
      <c r="Y1544" s="154"/>
      <c r="Z1544" s="6"/>
      <c r="AA1544" s="6"/>
      <c r="AB1544" s="6"/>
      <c r="AC1544" s="6"/>
      <c r="AD1544" s="6"/>
      <c r="AE1544" s="75"/>
      <c r="AF1544" s="45"/>
    </row>
    <row r="1545" spans="2:32" customFormat="1" x14ac:dyDescent="0.25">
      <c r="B1545" s="127"/>
      <c r="D1545" s="234"/>
      <c r="E1545" s="234"/>
      <c r="V1545" s="262"/>
      <c r="W1545" s="254"/>
      <c r="X1545" s="254"/>
      <c r="Y1545" s="154"/>
      <c r="Z1545" s="6"/>
      <c r="AA1545" s="6"/>
      <c r="AB1545" s="6"/>
      <c r="AC1545" s="6"/>
      <c r="AD1545" s="6"/>
      <c r="AE1545" s="75"/>
      <c r="AF1545" s="45"/>
    </row>
    <row r="1546" spans="2:32" customFormat="1" x14ac:dyDescent="0.25">
      <c r="B1546" s="127"/>
      <c r="D1546" s="234"/>
      <c r="E1546" s="234"/>
      <c r="V1546" s="262"/>
      <c r="W1546" s="254"/>
      <c r="X1546" s="254"/>
      <c r="Y1546" s="154"/>
      <c r="Z1546" s="6"/>
      <c r="AA1546" s="6"/>
      <c r="AB1546" s="6"/>
      <c r="AC1546" s="6"/>
      <c r="AD1546" s="6"/>
      <c r="AE1546" s="75"/>
      <c r="AF1546" s="45"/>
    </row>
    <row r="1547" spans="2:32" customFormat="1" x14ac:dyDescent="0.25">
      <c r="B1547" s="127"/>
      <c r="D1547" s="234"/>
      <c r="E1547" s="234"/>
      <c r="V1547" s="262"/>
      <c r="W1547" s="254"/>
      <c r="X1547" s="254"/>
      <c r="Y1547" s="154"/>
      <c r="Z1547" s="6"/>
      <c r="AA1547" s="6"/>
      <c r="AB1547" s="6"/>
      <c r="AC1547" s="6"/>
      <c r="AD1547" s="6"/>
      <c r="AE1547" s="75"/>
      <c r="AF1547" s="45"/>
    </row>
    <row r="1548" spans="2:32" customFormat="1" x14ac:dyDescent="0.25">
      <c r="B1548" s="127"/>
      <c r="D1548" s="234"/>
      <c r="E1548" s="234"/>
      <c r="V1548" s="262"/>
      <c r="W1548" s="254"/>
      <c r="X1548" s="254"/>
      <c r="Y1548" s="154"/>
      <c r="Z1548" s="6"/>
      <c r="AA1548" s="6"/>
      <c r="AB1548" s="6"/>
      <c r="AC1548" s="6"/>
      <c r="AD1548" s="6"/>
      <c r="AE1548" s="75"/>
      <c r="AF1548" s="45"/>
    </row>
    <row r="1549" spans="2:32" customFormat="1" x14ac:dyDescent="0.25">
      <c r="B1549" s="127"/>
      <c r="D1549" s="234"/>
      <c r="E1549" s="234"/>
      <c r="V1549" s="262"/>
      <c r="W1549" s="254"/>
      <c r="X1549" s="254"/>
      <c r="Y1549" s="154"/>
      <c r="Z1549" s="6"/>
      <c r="AA1549" s="6"/>
      <c r="AB1549" s="6"/>
      <c r="AC1549" s="6"/>
      <c r="AD1549" s="6"/>
      <c r="AE1549" s="75"/>
      <c r="AF1549" s="45"/>
    </row>
    <row r="1550" spans="2:32" customFormat="1" x14ac:dyDescent="0.25">
      <c r="B1550" s="127"/>
      <c r="D1550" s="234"/>
      <c r="E1550" s="234"/>
      <c r="V1550" s="262"/>
      <c r="W1550" s="254"/>
      <c r="X1550" s="254"/>
      <c r="Y1550" s="154"/>
      <c r="Z1550" s="6"/>
      <c r="AA1550" s="6"/>
      <c r="AB1550" s="6"/>
      <c r="AC1550" s="6"/>
      <c r="AD1550" s="6"/>
      <c r="AE1550" s="75"/>
      <c r="AF1550" s="45"/>
    </row>
    <row r="1551" spans="2:32" customFormat="1" x14ac:dyDescent="0.25">
      <c r="B1551" s="127"/>
      <c r="D1551" s="234"/>
      <c r="E1551" s="234"/>
      <c r="V1551" s="262"/>
      <c r="W1551" s="254"/>
      <c r="X1551" s="254"/>
      <c r="Y1551" s="154"/>
      <c r="Z1551" s="6"/>
      <c r="AA1551" s="6"/>
      <c r="AB1551" s="6"/>
      <c r="AC1551" s="6"/>
      <c r="AD1551" s="6"/>
      <c r="AE1551" s="75"/>
      <c r="AF1551" s="45"/>
    </row>
    <row r="1552" spans="2:32" customFormat="1" x14ac:dyDescent="0.25">
      <c r="B1552" s="127"/>
      <c r="D1552" s="234"/>
      <c r="E1552" s="234"/>
      <c r="V1552" s="262"/>
      <c r="W1552" s="254"/>
      <c r="X1552" s="254"/>
      <c r="Y1552" s="154"/>
      <c r="Z1552" s="6"/>
      <c r="AA1552" s="6"/>
      <c r="AB1552" s="6"/>
      <c r="AC1552" s="6"/>
      <c r="AD1552" s="6"/>
      <c r="AE1552" s="75"/>
      <c r="AF1552" s="45"/>
    </row>
    <row r="1553" spans="2:32" customFormat="1" x14ac:dyDescent="0.25">
      <c r="B1553" s="127"/>
      <c r="D1553" s="234"/>
      <c r="E1553" s="234"/>
      <c r="V1553" s="262"/>
      <c r="W1553" s="254"/>
      <c r="X1553" s="254"/>
      <c r="Y1553" s="154"/>
      <c r="Z1553" s="6"/>
      <c r="AA1553" s="6"/>
      <c r="AB1553" s="6"/>
      <c r="AC1553" s="6"/>
      <c r="AD1553" s="6"/>
      <c r="AE1553" s="75"/>
      <c r="AF1553" s="45"/>
    </row>
    <row r="1554" spans="2:32" customFormat="1" x14ac:dyDescent="0.25">
      <c r="B1554" s="127"/>
      <c r="D1554" s="234"/>
      <c r="E1554" s="234"/>
      <c r="V1554" s="262"/>
      <c r="W1554" s="254"/>
      <c r="X1554" s="254"/>
      <c r="Y1554" s="154"/>
      <c r="Z1554" s="6"/>
      <c r="AA1554" s="6"/>
      <c r="AB1554" s="6"/>
      <c r="AC1554" s="6"/>
      <c r="AD1554" s="6"/>
      <c r="AE1554" s="75"/>
      <c r="AF1554" s="45"/>
    </row>
    <row r="1555" spans="2:32" customFormat="1" x14ac:dyDescent="0.25">
      <c r="B1555" s="127"/>
      <c r="D1555" s="234"/>
      <c r="E1555" s="234"/>
      <c r="V1555" s="262"/>
      <c r="W1555" s="254"/>
      <c r="X1555" s="254"/>
      <c r="Y1555" s="154"/>
      <c r="Z1555" s="6"/>
      <c r="AA1555" s="6"/>
      <c r="AB1555" s="6"/>
      <c r="AC1555" s="6"/>
      <c r="AD1555" s="6"/>
      <c r="AE1555" s="75"/>
      <c r="AF1555" s="45"/>
    </row>
    <row r="1556" spans="2:32" customFormat="1" x14ac:dyDescent="0.25">
      <c r="B1556" s="127"/>
      <c r="D1556" s="234"/>
      <c r="E1556" s="234"/>
      <c r="V1556" s="262"/>
      <c r="W1556" s="254"/>
      <c r="X1556" s="254"/>
      <c r="Y1556" s="154"/>
      <c r="Z1556" s="6"/>
      <c r="AA1556" s="6"/>
      <c r="AB1556" s="6"/>
      <c r="AC1556" s="6"/>
      <c r="AD1556" s="6"/>
      <c r="AE1556" s="75"/>
      <c r="AF1556" s="45"/>
    </row>
    <row r="1557" spans="2:32" customFormat="1" x14ac:dyDescent="0.25">
      <c r="B1557" s="127"/>
      <c r="D1557" s="234"/>
      <c r="E1557" s="234"/>
      <c r="V1557" s="262"/>
      <c r="W1557" s="254"/>
      <c r="X1557" s="254"/>
      <c r="Y1557" s="154"/>
      <c r="Z1557" s="6"/>
      <c r="AA1557" s="6"/>
      <c r="AB1557" s="6"/>
      <c r="AC1557" s="6"/>
      <c r="AD1557" s="6"/>
      <c r="AE1557" s="75"/>
      <c r="AF1557" s="45"/>
    </row>
    <row r="1558" spans="2:32" customFormat="1" x14ac:dyDescent="0.25">
      <c r="B1558" s="127"/>
      <c r="D1558" s="234"/>
      <c r="E1558" s="234"/>
      <c r="V1558" s="262"/>
      <c r="W1558" s="254"/>
      <c r="X1558" s="254"/>
      <c r="Y1558" s="154"/>
      <c r="Z1558" s="6"/>
      <c r="AA1558" s="6"/>
      <c r="AB1558" s="6"/>
      <c r="AC1558" s="6"/>
      <c r="AD1558" s="6"/>
      <c r="AE1558" s="75"/>
      <c r="AF1558" s="45"/>
    </row>
    <row r="1559" spans="2:32" customFormat="1" x14ac:dyDescent="0.25">
      <c r="B1559" s="127"/>
      <c r="D1559" s="234"/>
      <c r="E1559" s="234"/>
      <c r="V1559" s="262"/>
      <c r="W1559" s="254"/>
      <c r="X1559" s="254"/>
      <c r="Y1559" s="154"/>
      <c r="Z1559" s="6"/>
      <c r="AA1559" s="6"/>
      <c r="AB1559" s="6"/>
      <c r="AC1559" s="6"/>
      <c r="AD1559" s="6"/>
      <c r="AE1559" s="75"/>
      <c r="AF1559" s="45"/>
    </row>
    <row r="1560" spans="2:32" customFormat="1" x14ac:dyDescent="0.25">
      <c r="B1560" s="127"/>
      <c r="D1560" s="234"/>
      <c r="E1560" s="234"/>
      <c r="V1560" s="262"/>
      <c r="W1560" s="254"/>
      <c r="X1560" s="254"/>
      <c r="Y1560" s="154"/>
      <c r="Z1560" s="6"/>
      <c r="AA1560" s="6"/>
      <c r="AB1560" s="6"/>
      <c r="AC1560" s="6"/>
      <c r="AD1560" s="6"/>
      <c r="AE1560" s="75"/>
      <c r="AF1560" s="45"/>
    </row>
    <row r="1561" spans="2:32" customFormat="1" x14ac:dyDescent="0.25">
      <c r="B1561" s="127"/>
      <c r="D1561" s="234"/>
      <c r="E1561" s="234"/>
      <c r="V1561" s="262"/>
      <c r="W1561" s="254"/>
      <c r="X1561" s="254"/>
      <c r="Y1561" s="154"/>
      <c r="Z1561" s="6"/>
      <c r="AA1561" s="6"/>
      <c r="AB1561" s="6"/>
      <c r="AC1561" s="6"/>
      <c r="AD1561" s="6"/>
      <c r="AE1561" s="75"/>
      <c r="AF1561" s="45"/>
    </row>
    <row r="1562" spans="2:32" customFormat="1" x14ac:dyDescent="0.25">
      <c r="B1562" s="127"/>
      <c r="D1562" s="234"/>
      <c r="E1562" s="234"/>
      <c r="V1562" s="262"/>
      <c r="W1562" s="254"/>
      <c r="X1562" s="254"/>
      <c r="Y1562" s="154"/>
      <c r="Z1562" s="6"/>
      <c r="AA1562" s="6"/>
      <c r="AB1562" s="6"/>
      <c r="AC1562" s="6"/>
      <c r="AD1562" s="6"/>
      <c r="AE1562" s="75"/>
      <c r="AF1562" s="45"/>
    </row>
    <row r="1563" spans="2:32" customFormat="1" x14ac:dyDescent="0.25">
      <c r="B1563" s="127"/>
      <c r="D1563" s="234"/>
      <c r="E1563" s="234"/>
      <c r="V1563" s="262"/>
      <c r="W1563" s="254"/>
      <c r="X1563" s="254"/>
      <c r="Y1563" s="154"/>
      <c r="Z1563" s="6"/>
      <c r="AA1563" s="6"/>
      <c r="AB1563" s="6"/>
      <c r="AC1563" s="6"/>
      <c r="AD1563" s="6"/>
      <c r="AE1563" s="75"/>
      <c r="AF1563" s="45"/>
    </row>
    <row r="1564" spans="2:32" customFormat="1" x14ac:dyDescent="0.25">
      <c r="B1564" s="127"/>
      <c r="D1564" s="234"/>
      <c r="E1564" s="234"/>
      <c r="V1564" s="262"/>
      <c r="W1564" s="254"/>
      <c r="X1564" s="254"/>
      <c r="Y1564" s="154"/>
      <c r="Z1564" s="6"/>
      <c r="AA1564" s="6"/>
      <c r="AB1564" s="6"/>
      <c r="AC1564" s="6"/>
      <c r="AD1564" s="6"/>
      <c r="AE1564" s="75"/>
      <c r="AF1564" s="45"/>
    </row>
    <row r="1565" spans="2:32" customFormat="1" x14ac:dyDescent="0.25">
      <c r="B1565" s="127"/>
      <c r="D1565" s="234"/>
      <c r="E1565" s="234"/>
      <c r="V1565" s="262"/>
      <c r="W1565" s="254"/>
      <c r="X1565" s="254"/>
      <c r="Y1565" s="154"/>
      <c r="Z1565" s="6"/>
      <c r="AA1565" s="6"/>
      <c r="AB1565" s="6"/>
      <c r="AC1565" s="6"/>
      <c r="AD1565" s="6"/>
      <c r="AE1565" s="75"/>
      <c r="AF1565" s="45"/>
    </row>
    <row r="1566" spans="2:32" customFormat="1" x14ac:dyDescent="0.25">
      <c r="B1566" s="127"/>
      <c r="D1566" s="234"/>
      <c r="E1566" s="234"/>
      <c r="V1566" s="262"/>
      <c r="W1566" s="254"/>
      <c r="X1566" s="254"/>
      <c r="Y1566" s="154"/>
      <c r="Z1566" s="6"/>
      <c r="AA1566" s="6"/>
      <c r="AB1566" s="6"/>
      <c r="AC1566" s="6"/>
      <c r="AD1566" s="6"/>
      <c r="AE1566" s="75"/>
      <c r="AF1566" s="45"/>
    </row>
    <row r="1567" spans="2:32" customFormat="1" x14ac:dyDescent="0.25">
      <c r="B1567" s="127"/>
      <c r="D1567" s="234"/>
      <c r="E1567" s="234"/>
      <c r="V1567" s="262"/>
      <c r="W1567" s="254"/>
      <c r="X1567" s="254"/>
      <c r="Y1567" s="154"/>
      <c r="Z1567" s="6"/>
      <c r="AA1567" s="6"/>
      <c r="AB1567" s="6"/>
      <c r="AC1567" s="6"/>
      <c r="AD1567" s="6"/>
      <c r="AE1567" s="75"/>
      <c r="AF1567" s="45"/>
    </row>
    <row r="1568" spans="2:32" customFormat="1" x14ac:dyDescent="0.25">
      <c r="B1568" s="127"/>
      <c r="D1568" s="234"/>
      <c r="E1568" s="234"/>
      <c r="V1568" s="262"/>
      <c r="W1568" s="254"/>
      <c r="X1568" s="254"/>
      <c r="Y1568" s="154"/>
      <c r="Z1568" s="6"/>
      <c r="AA1568" s="6"/>
      <c r="AB1568" s="6"/>
      <c r="AC1568" s="6"/>
      <c r="AD1568" s="6"/>
      <c r="AE1568" s="75"/>
      <c r="AF1568" s="45"/>
    </row>
    <row r="1569" spans="2:32" customFormat="1" x14ac:dyDescent="0.25">
      <c r="B1569" s="127"/>
      <c r="D1569" s="234"/>
      <c r="E1569" s="234"/>
      <c r="V1569" s="262"/>
      <c r="W1569" s="254"/>
      <c r="X1569" s="254"/>
      <c r="Y1569" s="154"/>
      <c r="Z1569" s="6"/>
      <c r="AA1569" s="6"/>
      <c r="AB1569" s="6"/>
      <c r="AC1569" s="6"/>
      <c r="AD1569" s="6"/>
      <c r="AE1569" s="75"/>
      <c r="AF1569" s="45"/>
    </row>
    <row r="1570" spans="2:32" customFormat="1" x14ac:dyDescent="0.25">
      <c r="B1570" s="127"/>
      <c r="D1570" s="234"/>
      <c r="E1570" s="234"/>
      <c r="V1570" s="262"/>
      <c r="W1570" s="254"/>
      <c r="X1570" s="254"/>
      <c r="Y1570" s="154"/>
      <c r="Z1570" s="6"/>
      <c r="AA1570" s="6"/>
      <c r="AB1570" s="6"/>
      <c r="AC1570" s="6"/>
      <c r="AD1570" s="6"/>
      <c r="AE1570" s="75"/>
      <c r="AF1570" s="45"/>
    </row>
    <row r="1571" spans="2:32" customFormat="1" x14ac:dyDescent="0.25">
      <c r="B1571" s="127"/>
      <c r="D1571" s="234"/>
      <c r="E1571" s="234"/>
      <c r="V1571" s="262"/>
      <c r="W1571" s="254"/>
      <c r="X1571" s="254"/>
      <c r="Y1571" s="154"/>
      <c r="Z1571" s="6"/>
      <c r="AA1571" s="6"/>
      <c r="AB1571" s="6"/>
      <c r="AC1571" s="6"/>
      <c r="AD1571" s="6"/>
      <c r="AE1571" s="75"/>
      <c r="AF1571" s="45"/>
    </row>
    <row r="1572" spans="2:32" customFormat="1" x14ac:dyDescent="0.25">
      <c r="B1572" s="127"/>
      <c r="D1572" s="234"/>
      <c r="E1572" s="234"/>
      <c r="V1572" s="262"/>
      <c r="W1572" s="254"/>
      <c r="X1572" s="254"/>
      <c r="Y1572" s="154"/>
      <c r="Z1572" s="6"/>
      <c r="AA1572" s="6"/>
      <c r="AB1572" s="6"/>
      <c r="AC1572" s="6"/>
      <c r="AD1572" s="6"/>
      <c r="AE1572" s="75"/>
      <c r="AF1572" s="45"/>
    </row>
    <row r="1573" spans="2:32" customFormat="1" x14ac:dyDescent="0.25">
      <c r="B1573" s="127"/>
      <c r="D1573" s="234"/>
      <c r="E1573" s="234"/>
      <c r="V1573" s="262"/>
      <c r="W1573" s="254"/>
      <c r="X1573" s="254"/>
      <c r="Y1573" s="154"/>
      <c r="Z1573" s="6"/>
      <c r="AA1573" s="6"/>
      <c r="AB1573" s="6"/>
      <c r="AC1573" s="6"/>
      <c r="AD1573" s="6"/>
      <c r="AE1573" s="75"/>
      <c r="AF1573" s="45"/>
    </row>
    <row r="1574" spans="2:32" customFormat="1" x14ac:dyDescent="0.25">
      <c r="B1574" s="127"/>
      <c r="D1574" s="234"/>
      <c r="E1574" s="234"/>
      <c r="V1574" s="262"/>
      <c r="W1574" s="254"/>
      <c r="X1574" s="254"/>
      <c r="Y1574" s="154"/>
      <c r="Z1574" s="6"/>
      <c r="AA1574" s="6"/>
      <c r="AB1574" s="6"/>
      <c r="AC1574" s="6"/>
      <c r="AD1574" s="6"/>
      <c r="AE1574" s="75"/>
      <c r="AF1574" s="45"/>
    </row>
    <row r="1575" spans="2:32" customFormat="1" x14ac:dyDescent="0.25">
      <c r="B1575" s="127"/>
      <c r="D1575" s="234"/>
      <c r="E1575" s="234"/>
      <c r="V1575" s="262"/>
      <c r="W1575" s="254"/>
      <c r="X1575" s="254"/>
      <c r="Y1575" s="154"/>
      <c r="Z1575" s="6"/>
      <c r="AA1575" s="6"/>
      <c r="AB1575" s="6"/>
      <c r="AC1575" s="6"/>
      <c r="AD1575" s="6"/>
      <c r="AE1575" s="75"/>
      <c r="AF1575" s="45"/>
    </row>
    <row r="1576" spans="2:32" customFormat="1" x14ac:dyDescent="0.25">
      <c r="B1576" s="127"/>
      <c r="D1576" s="234"/>
      <c r="E1576" s="234"/>
      <c r="V1576" s="262"/>
      <c r="W1576" s="254"/>
      <c r="X1576" s="254"/>
      <c r="Y1576" s="154"/>
      <c r="Z1576" s="6"/>
      <c r="AA1576" s="6"/>
      <c r="AB1576" s="6"/>
      <c r="AC1576" s="6"/>
      <c r="AD1576" s="6"/>
      <c r="AE1576" s="75"/>
      <c r="AF1576" s="45"/>
    </row>
    <row r="1577" spans="2:32" customFormat="1" x14ac:dyDescent="0.25">
      <c r="B1577" s="127"/>
      <c r="D1577" s="234"/>
      <c r="E1577" s="234"/>
      <c r="V1577" s="262"/>
      <c r="W1577" s="254"/>
      <c r="X1577" s="254"/>
      <c r="Y1577" s="154"/>
      <c r="Z1577" s="6"/>
      <c r="AA1577" s="6"/>
      <c r="AB1577" s="6"/>
      <c r="AC1577" s="6"/>
      <c r="AD1577" s="6"/>
      <c r="AE1577" s="75"/>
      <c r="AF1577" s="45"/>
    </row>
    <row r="1578" spans="2:32" customFormat="1" x14ac:dyDescent="0.25">
      <c r="B1578" s="127"/>
      <c r="D1578" s="234"/>
      <c r="E1578" s="234"/>
      <c r="V1578" s="262"/>
      <c r="W1578" s="254"/>
      <c r="X1578" s="254"/>
      <c r="Y1578" s="154"/>
      <c r="Z1578" s="6"/>
      <c r="AA1578" s="6"/>
      <c r="AB1578" s="6"/>
      <c r="AC1578" s="6"/>
      <c r="AD1578" s="6"/>
      <c r="AE1578" s="75"/>
      <c r="AF1578" s="45"/>
    </row>
    <row r="1579" spans="2:32" customFormat="1" x14ac:dyDescent="0.25">
      <c r="B1579" s="127"/>
      <c r="D1579" s="234"/>
      <c r="E1579" s="234"/>
      <c r="V1579" s="262"/>
      <c r="W1579" s="254"/>
      <c r="X1579" s="254"/>
      <c r="Y1579" s="154"/>
      <c r="Z1579" s="6"/>
      <c r="AA1579" s="6"/>
      <c r="AB1579" s="6"/>
      <c r="AC1579" s="6"/>
      <c r="AD1579" s="6"/>
      <c r="AE1579" s="75"/>
      <c r="AF1579" s="45"/>
    </row>
    <row r="1580" spans="2:32" customFormat="1" x14ac:dyDescent="0.25">
      <c r="B1580" s="127"/>
      <c r="D1580" s="234"/>
      <c r="E1580" s="234"/>
      <c r="V1580" s="262"/>
      <c r="W1580" s="254"/>
      <c r="X1580" s="254"/>
      <c r="Y1580" s="154"/>
      <c r="Z1580" s="6"/>
      <c r="AA1580" s="6"/>
      <c r="AB1580" s="6"/>
      <c r="AC1580" s="6"/>
      <c r="AD1580" s="6"/>
      <c r="AE1580" s="75"/>
      <c r="AF1580" s="45"/>
    </row>
    <row r="1581" spans="2:32" customFormat="1" x14ac:dyDescent="0.25">
      <c r="B1581" s="127"/>
      <c r="D1581" s="234"/>
      <c r="E1581" s="234"/>
      <c r="V1581" s="262"/>
      <c r="W1581" s="254"/>
      <c r="X1581" s="254"/>
      <c r="Y1581" s="154"/>
      <c r="Z1581" s="6"/>
      <c r="AA1581" s="6"/>
      <c r="AB1581" s="6"/>
      <c r="AC1581" s="6"/>
      <c r="AD1581" s="6"/>
      <c r="AE1581" s="75"/>
      <c r="AF1581" s="45"/>
    </row>
    <row r="1582" spans="2:32" customFormat="1" x14ac:dyDescent="0.25">
      <c r="B1582" s="127"/>
      <c r="D1582" s="234"/>
      <c r="E1582" s="234"/>
      <c r="V1582" s="262"/>
      <c r="W1582" s="254"/>
      <c r="X1582" s="254"/>
      <c r="Y1582" s="154"/>
      <c r="Z1582" s="6"/>
      <c r="AA1582" s="6"/>
      <c r="AB1582" s="6"/>
      <c r="AC1582" s="6"/>
      <c r="AD1582" s="6"/>
      <c r="AE1582" s="75"/>
      <c r="AF1582" s="45"/>
    </row>
    <row r="1583" spans="2:32" customFormat="1" x14ac:dyDescent="0.25">
      <c r="B1583" s="127"/>
      <c r="D1583" s="234"/>
      <c r="E1583" s="234"/>
      <c r="V1583" s="262"/>
      <c r="W1583" s="254"/>
      <c r="X1583" s="254"/>
      <c r="Y1583" s="154"/>
      <c r="Z1583" s="6"/>
      <c r="AA1583" s="6"/>
      <c r="AB1583" s="6"/>
      <c r="AC1583" s="6"/>
      <c r="AD1583" s="6"/>
      <c r="AE1583" s="75"/>
      <c r="AF1583" s="45"/>
    </row>
    <row r="1584" spans="2:32" customFormat="1" x14ac:dyDescent="0.25">
      <c r="B1584" s="127"/>
      <c r="D1584" s="234"/>
      <c r="E1584" s="234"/>
      <c r="V1584" s="262"/>
      <c r="W1584" s="254"/>
      <c r="X1584" s="254"/>
      <c r="Y1584" s="154"/>
      <c r="Z1584" s="6"/>
      <c r="AA1584" s="6"/>
      <c r="AB1584" s="6"/>
      <c r="AC1584" s="6"/>
      <c r="AD1584" s="6"/>
      <c r="AE1584" s="75"/>
      <c r="AF1584" s="45"/>
    </row>
    <row r="1585" spans="2:32" customFormat="1" x14ac:dyDescent="0.25">
      <c r="B1585" s="127"/>
      <c r="D1585" s="234"/>
      <c r="E1585" s="234"/>
      <c r="V1585" s="262"/>
      <c r="W1585" s="254"/>
      <c r="X1585" s="254"/>
      <c r="Y1585" s="154"/>
      <c r="Z1585" s="6"/>
      <c r="AA1585" s="6"/>
      <c r="AB1585" s="6"/>
      <c r="AC1585" s="6"/>
      <c r="AD1585" s="6"/>
      <c r="AE1585" s="75"/>
      <c r="AF1585" s="45"/>
    </row>
    <row r="1586" spans="2:32" customFormat="1" x14ac:dyDescent="0.25">
      <c r="B1586" s="127"/>
      <c r="D1586" s="234"/>
      <c r="E1586" s="234"/>
      <c r="V1586" s="262"/>
      <c r="W1586" s="254"/>
      <c r="X1586" s="254"/>
      <c r="Y1586" s="154"/>
      <c r="Z1586" s="6"/>
      <c r="AA1586" s="6"/>
      <c r="AB1586" s="6"/>
      <c r="AC1586" s="6"/>
      <c r="AD1586" s="6"/>
      <c r="AE1586" s="75"/>
      <c r="AF1586" s="45"/>
    </row>
    <row r="1587" spans="2:32" customFormat="1" x14ac:dyDescent="0.25">
      <c r="B1587" s="127"/>
      <c r="D1587" s="234"/>
      <c r="E1587" s="234"/>
      <c r="V1587" s="262"/>
      <c r="W1587" s="254"/>
      <c r="X1587" s="254"/>
      <c r="Y1587" s="154"/>
      <c r="Z1587" s="6"/>
      <c r="AA1587" s="6"/>
      <c r="AB1587" s="6"/>
      <c r="AC1587" s="6"/>
      <c r="AD1587" s="6"/>
      <c r="AE1587" s="75"/>
      <c r="AF1587" s="45"/>
    </row>
    <row r="1588" spans="2:32" customFormat="1" x14ac:dyDescent="0.25">
      <c r="B1588" s="127"/>
      <c r="D1588" s="234"/>
      <c r="E1588" s="234"/>
      <c r="V1588" s="262"/>
      <c r="W1588" s="254"/>
      <c r="X1588" s="254"/>
      <c r="Y1588" s="154"/>
      <c r="Z1588" s="6"/>
      <c r="AA1588" s="6"/>
      <c r="AB1588" s="6"/>
      <c r="AC1588" s="6"/>
      <c r="AD1588" s="6"/>
      <c r="AE1588" s="75"/>
      <c r="AF1588" s="45"/>
    </row>
    <row r="1589" spans="2:32" customFormat="1" x14ac:dyDescent="0.25">
      <c r="B1589" s="127"/>
      <c r="D1589" s="234"/>
      <c r="E1589" s="234"/>
      <c r="V1589" s="262"/>
      <c r="W1589" s="254"/>
      <c r="X1589" s="254"/>
      <c r="Y1589" s="154"/>
      <c r="Z1589" s="6"/>
      <c r="AA1589" s="6"/>
      <c r="AB1589" s="6"/>
      <c r="AC1589" s="6"/>
      <c r="AD1589" s="6"/>
      <c r="AE1589" s="75"/>
      <c r="AF1589" s="45"/>
    </row>
    <row r="1590" spans="2:32" customFormat="1" x14ac:dyDescent="0.25">
      <c r="B1590" s="127"/>
      <c r="D1590" s="234"/>
      <c r="E1590" s="234"/>
      <c r="V1590" s="262"/>
      <c r="W1590" s="254"/>
      <c r="X1590" s="254"/>
      <c r="Y1590" s="154"/>
      <c r="Z1590" s="6"/>
      <c r="AA1590" s="6"/>
      <c r="AB1590" s="6"/>
      <c r="AC1590" s="6"/>
      <c r="AD1590" s="6"/>
      <c r="AE1590" s="75"/>
      <c r="AF1590" s="45"/>
    </row>
    <row r="1591" spans="2:32" customFormat="1" x14ac:dyDescent="0.25">
      <c r="B1591" s="127"/>
      <c r="D1591" s="234"/>
      <c r="E1591" s="234"/>
      <c r="V1591" s="262"/>
      <c r="W1591" s="254"/>
      <c r="X1591" s="254"/>
      <c r="Y1591" s="154"/>
      <c r="Z1591" s="6"/>
      <c r="AA1591" s="6"/>
      <c r="AB1591" s="6"/>
      <c r="AC1591" s="6"/>
      <c r="AD1591" s="6"/>
      <c r="AE1591" s="75"/>
      <c r="AF1591" s="45"/>
    </row>
    <row r="1592" spans="2:32" customFormat="1" x14ac:dyDescent="0.25">
      <c r="B1592" s="127"/>
      <c r="D1592" s="234"/>
      <c r="E1592" s="234"/>
      <c r="V1592" s="262"/>
      <c r="W1592" s="254"/>
      <c r="X1592" s="254"/>
      <c r="Y1592" s="154"/>
      <c r="Z1592" s="6"/>
      <c r="AA1592" s="6"/>
      <c r="AB1592" s="6"/>
      <c r="AC1592" s="6"/>
      <c r="AD1592" s="6"/>
      <c r="AE1592" s="75"/>
      <c r="AF1592" s="45"/>
    </row>
    <row r="1593" spans="2:32" customFormat="1" x14ac:dyDescent="0.25">
      <c r="B1593" s="127"/>
      <c r="D1593" s="234"/>
      <c r="E1593" s="234"/>
      <c r="V1593" s="262"/>
      <c r="W1593" s="254"/>
      <c r="X1593" s="254"/>
      <c r="Y1593" s="154"/>
      <c r="Z1593" s="6"/>
      <c r="AA1593" s="6"/>
      <c r="AB1593" s="6"/>
      <c r="AC1593" s="6"/>
      <c r="AD1593" s="6"/>
      <c r="AE1593" s="75"/>
      <c r="AF1593" s="45"/>
    </row>
    <row r="1594" spans="2:32" customFormat="1" x14ac:dyDescent="0.25">
      <c r="B1594" s="127"/>
      <c r="D1594" s="234"/>
      <c r="E1594" s="234"/>
      <c r="V1594" s="262"/>
      <c r="W1594" s="254"/>
      <c r="X1594" s="254"/>
      <c r="Y1594" s="154"/>
      <c r="Z1594" s="6"/>
      <c r="AA1594" s="6"/>
      <c r="AB1594" s="6"/>
      <c r="AC1594" s="6"/>
      <c r="AD1594" s="6"/>
      <c r="AE1594" s="75"/>
      <c r="AF1594" s="45"/>
    </row>
    <row r="1595" spans="2:32" customFormat="1" x14ac:dyDescent="0.25">
      <c r="B1595" s="127"/>
      <c r="D1595" s="234"/>
      <c r="E1595" s="234"/>
      <c r="V1595" s="262"/>
      <c r="W1595" s="254"/>
      <c r="X1595" s="254"/>
      <c r="Y1595" s="154"/>
      <c r="Z1595" s="6"/>
      <c r="AA1595" s="6"/>
      <c r="AB1595" s="6"/>
      <c r="AC1595" s="6"/>
      <c r="AD1595" s="6"/>
      <c r="AE1595" s="75"/>
      <c r="AF1595" s="45"/>
    </row>
    <row r="1596" spans="2:32" customFormat="1" x14ac:dyDescent="0.25">
      <c r="B1596" s="127"/>
      <c r="D1596" s="234"/>
      <c r="E1596" s="234"/>
      <c r="V1596" s="262"/>
      <c r="W1596" s="254"/>
      <c r="X1596" s="254"/>
      <c r="Y1596" s="154"/>
      <c r="Z1596" s="6"/>
      <c r="AA1596" s="6"/>
      <c r="AB1596" s="6"/>
      <c r="AC1596" s="6"/>
      <c r="AD1596" s="6"/>
      <c r="AE1596" s="75"/>
      <c r="AF1596" s="45"/>
    </row>
    <row r="1597" spans="2:32" customFormat="1" x14ac:dyDescent="0.25">
      <c r="B1597" s="127"/>
      <c r="D1597" s="234"/>
      <c r="E1597" s="234"/>
      <c r="V1597" s="262"/>
      <c r="W1597" s="254"/>
      <c r="X1597" s="254"/>
      <c r="Y1597" s="154"/>
      <c r="Z1597" s="6"/>
      <c r="AA1597" s="6"/>
      <c r="AB1597" s="6"/>
      <c r="AC1597" s="6"/>
      <c r="AD1597" s="6"/>
      <c r="AE1597" s="75"/>
      <c r="AF1597" s="45"/>
    </row>
    <row r="1598" spans="2:32" customFormat="1" x14ac:dyDescent="0.25">
      <c r="B1598" s="127"/>
      <c r="D1598" s="234"/>
      <c r="E1598" s="234"/>
      <c r="V1598" s="262"/>
      <c r="W1598" s="254"/>
      <c r="X1598" s="254"/>
      <c r="Y1598" s="154"/>
      <c r="Z1598" s="6"/>
      <c r="AA1598" s="6"/>
      <c r="AB1598" s="6"/>
      <c r="AC1598" s="6"/>
      <c r="AD1598" s="6"/>
      <c r="AE1598" s="75"/>
      <c r="AF1598" s="45"/>
    </row>
    <row r="1599" spans="2:32" customFormat="1" x14ac:dyDescent="0.25">
      <c r="B1599" s="127"/>
      <c r="D1599" s="234"/>
      <c r="E1599" s="234"/>
      <c r="V1599" s="262"/>
      <c r="W1599" s="254"/>
      <c r="X1599" s="254"/>
      <c r="Y1599" s="154"/>
      <c r="Z1599" s="6"/>
      <c r="AA1599" s="6"/>
      <c r="AB1599" s="6"/>
      <c r="AC1599" s="6"/>
      <c r="AD1599" s="6"/>
      <c r="AE1599" s="75"/>
      <c r="AF1599" s="45"/>
    </row>
    <row r="1600" spans="2:32" customFormat="1" x14ac:dyDescent="0.25">
      <c r="B1600" s="127"/>
      <c r="D1600" s="234"/>
      <c r="E1600" s="234"/>
      <c r="V1600" s="262"/>
      <c r="W1600" s="254"/>
      <c r="X1600" s="254"/>
      <c r="Y1600" s="154"/>
      <c r="Z1600" s="6"/>
      <c r="AA1600" s="6"/>
      <c r="AB1600" s="6"/>
      <c r="AC1600" s="6"/>
      <c r="AD1600" s="6"/>
      <c r="AE1600" s="75"/>
      <c r="AF1600" s="45"/>
    </row>
    <row r="1601" spans="2:32" customFormat="1" x14ac:dyDescent="0.25">
      <c r="B1601" s="127"/>
      <c r="D1601" s="234"/>
      <c r="E1601" s="234"/>
      <c r="V1601" s="262"/>
      <c r="W1601" s="254"/>
      <c r="X1601" s="254"/>
      <c r="Y1601" s="154"/>
      <c r="Z1601" s="6"/>
      <c r="AA1601" s="6"/>
      <c r="AB1601" s="6"/>
      <c r="AC1601" s="6"/>
      <c r="AD1601" s="6"/>
      <c r="AE1601" s="75"/>
      <c r="AF1601" s="45"/>
    </row>
    <row r="1602" spans="2:32" customFormat="1" x14ac:dyDescent="0.25">
      <c r="B1602" s="127"/>
      <c r="D1602" s="234"/>
      <c r="E1602" s="234"/>
      <c r="V1602" s="262"/>
      <c r="W1602" s="254"/>
      <c r="X1602" s="254"/>
      <c r="Y1602" s="154"/>
      <c r="Z1602" s="6"/>
      <c r="AA1602" s="6"/>
      <c r="AB1602" s="6"/>
      <c r="AC1602" s="6"/>
      <c r="AD1602" s="6"/>
      <c r="AE1602" s="75"/>
      <c r="AF1602" s="45"/>
    </row>
    <row r="1603" spans="2:32" customFormat="1" x14ac:dyDescent="0.25">
      <c r="B1603" s="127"/>
      <c r="D1603" s="234"/>
      <c r="E1603" s="234"/>
      <c r="V1603" s="262"/>
      <c r="W1603" s="254"/>
      <c r="X1603" s="254"/>
      <c r="Y1603" s="154"/>
      <c r="Z1603" s="6"/>
      <c r="AA1603" s="6"/>
      <c r="AB1603" s="6"/>
      <c r="AC1603" s="6"/>
      <c r="AD1603" s="6"/>
      <c r="AE1603" s="75"/>
      <c r="AF1603" s="45"/>
    </row>
    <row r="1604" spans="2:32" customFormat="1" x14ac:dyDescent="0.25">
      <c r="B1604" s="127"/>
      <c r="D1604" s="234"/>
      <c r="E1604" s="234"/>
      <c r="V1604" s="262"/>
      <c r="W1604" s="254"/>
      <c r="X1604" s="254"/>
      <c r="Y1604" s="154"/>
      <c r="Z1604" s="6"/>
      <c r="AA1604" s="6"/>
      <c r="AB1604" s="6"/>
      <c r="AC1604" s="6"/>
      <c r="AD1604" s="6"/>
      <c r="AE1604" s="75"/>
      <c r="AF1604" s="45"/>
    </row>
    <row r="1605" spans="2:32" customFormat="1" x14ac:dyDescent="0.25">
      <c r="B1605" s="127"/>
      <c r="D1605" s="234"/>
      <c r="E1605" s="234"/>
      <c r="V1605" s="262"/>
      <c r="W1605" s="254"/>
      <c r="X1605" s="254"/>
      <c r="Y1605" s="154"/>
      <c r="Z1605" s="6"/>
      <c r="AA1605" s="6"/>
      <c r="AB1605" s="6"/>
      <c r="AC1605" s="6"/>
      <c r="AD1605" s="6"/>
      <c r="AE1605" s="75"/>
      <c r="AF1605" s="45"/>
    </row>
    <row r="1606" spans="2:32" customFormat="1" x14ac:dyDescent="0.25">
      <c r="B1606" s="127"/>
      <c r="D1606" s="234"/>
      <c r="E1606" s="234"/>
      <c r="V1606" s="262"/>
      <c r="W1606" s="254"/>
      <c r="X1606" s="254"/>
      <c r="Y1606" s="154"/>
      <c r="Z1606" s="6"/>
      <c r="AA1606" s="6"/>
      <c r="AB1606" s="6"/>
      <c r="AC1606" s="6"/>
      <c r="AD1606" s="6"/>
      <c r="AE1606" s="75"/>
      <c r="AF1606" s="45"/>
    </row>
    <row r="1607" spans="2:32" customFormat="1" x14ac:dyDescent="0.25">
      <c r="B1607" s="127"/>
      <c r="D1607" s="234"/>
      <c r="E1607" s="234"/>
      <c r="V1607" s="262"/>
      <c r="W1607" s="254"/>
      <c r="X1607" s="254"/>
      <c r="Y1607" s="154"/>
      <c r="Z1607" s="6"/>
      <c r="AA1607" s="6"/>
      <c r="AB1607" s="6"/>
      <c r="AC1607" s="6"/>
      <c r="AD1607" s="6"/>
      <c r="AE1607" s="75"/>
      <c r="AF1607" s="45"/>
    </row>
    <row r="1608" spans="2:32" customFormat="1" x14ac:dyDescent="0.25">
      <c r="B1608" s="127"/>
      <c r="D1608" s="234"/>
      <c r="E1608" s="234"/>
      <c r="V1608" s="262"/>
      <c r="W1608" s="254"/>
      <c r="X1608" s="254"/>
      <c r="Y1608" s="154"/>
      <c r="Z1608" s="6"/>
      <c r="AA1608" s="6"/>
      <c r="AB1608" s="6"/>
      <c r="AC1608" s="6"/>
      <c r="AD1608" s="6"/>
      <c r="AE1608" s="75"/>
      <c r="AF1608" s="45"/>
    </row>
    <row r="1609" spans="2:32" customFormat="1" x14ac:dyDescent="0.25">
      <c r="B1609" s="127"/>
      <c r="D1609" s="234"/>
      <c r="E1609" s="234"/>
      <c r="V1609" s="262"/>
      <c r="W1609" s="254"/>
      <c r="X1609" s="254"/>
      <c r="Y1609" s="154"/>
      <c r="Z1609" s="6"/>
      <c r="AA1609" s="6"/>
      <c r="AB1609" s="6"/>
      <c r="AC1609" s="6"/>
      <c r="AD1609" s="6"/>
      <c r="AE1609" s="75"/>
      <c r="AF1609" s="45"/>
    </row>
    <row r="1610" spans="2:32" customFormat="1" x14ac:dyDescent="0.25">
      <c r="B1610" s="127"/>
      <c r="D1610" s="234"/>
      <c r="E1610" s="234"/>
      <c r="V1610" s="262"/>
      <c r="W1610" s="254"/>
      <c r="X1610" s="254"/>
      <c r="Y1610" s="154"/>
      <c r="Z1610" s="6"/>
      <c r="AA1610" s="6"/>
      <c r="AB1610" s="6"/>
      <c r="AC1610" s="6"/>
      <c r="AD1610" s="6"/>
      <c r="AE1610" s="75"/>
      <c r="AF1610" s="45"/>
    </row>
    <row r="1611" spans="2:32" customFormat="1" x14ac:dyDescent="0.25">
      <c r="B1611" s="127"/>
      <c r="D1611" s="234"/>
      <c r="E1611" s="234"/>
      <c r="V1611" s="262"/>
      <c r="W1611" s="254"/>
      <c r="X1611" s="254"/>
      <c r="Y1611" s="154"/>
      <c r="Z1611" s="6"/>
      <c r="AA1611" s="6"/>
      <c r="AB1611" s="6"/>
      <c r="AC1611" s="6"/>
      <c r="AD1611" s="6"/>
      <c r="AE1611" s="75"/>
      <c r="AF1611" s="45"/>
    </row>
    <row r="1612" spans="2:32" customFormat="1" x14ac:dyDescent="0.25">
      <c r="B1612" s="127"/>
      <c r="D1612" s="234"/>
      <c r="E1612" s="234"/>
      <c r="V1612" s="262"/>
      <c r="W1612" s="254"/>
      <c r="X1612" s="254"/>
      <c r="Y1612" s="154"/>
      <c r="Z1612" s="6"/>
      <c r="AA1612" s="6"/>
      <c r="AB1612" s="6"/>
      <c r="AC1612" s="6"/>
      <c r="AD1612" s="6"/>
      <c r="AE1612" s="75"/>
      <c r="AF1612" s="45"/>
    </row>
    <row r="1613" spans="2:32" customFormat="1" x14ac:dyDescent="0.25">
      <c r="B1613" s="127"/>
      <c r="D1613" s="234"/>
      <c r="E1613" s="234"/>
      <c r="V1613" s="262"/>
      <c r="W1613" s="254"/>
      <c r="X1613" s="254"/>
      <c r="Y1613" s="154"/>
      <c r="Z1613" s="6"/>
      <c r="AA1613" s="6"/>
      <c r="AB1613" s="6"/>
      <c r="AC1613" s="6"/>
      <c r="AD1613" s="6"/>
      <c r="AE1613" s="75"/>
      <c r="AF1613" s="45"/>
    </row>
    <row r="1614" spans="2:32" customFormat="1" x14ac:dyDescent="0.25">
      <c r="B1614" s="127"/>
      <c r="D1614" s="234"/>
      <c r="E1614" s="234"/>
      <c r="V1614" s="262"/>
      <c r="W1614" s="254"/>
      <c r="X1614" s="254"/>
      <c r="Y1614" s="154"/>
      <c r="Z1614" s="6"/>
      <c r="AA1614" s="6"/>
      <c r="AB1614" s="6"/>
      <c r="AC1614" s="6"/>
      <c r="AD1614" s="6"/>
      <c r="AE1614" s="75"/>
      <c r="AF1614" s="45"/>
    </row>
    <row r="1615" spans="2:32" customFormat="1" x14ac:dyDescent="0.25">
      <c r="B1615" s="127"/>
      <c r="D1615" s="234"/>
      <c r="E1615" s="234"/>
      <c r="V1615" s="262"/>
      <c r="W1615" s="254"/>
      <c r="X1615" s="254"/>
      <c r="Y1615" s="154"/>
      <c r="Z1615" s="6"/>
      <c r="AA1615" s="6"/>
      <c r="AB1615" s="6"/>
      <c r="AC1615" s="6"/>
      <c r="AD1615" s="6"/>
      <c r="AE1615" s="75"/>
      <c r="AF1615" s="45"/>
    </row>
    <row r="1616" spans="2:32" customFormat="1" x14ac:dyDescent="0.25">
      <c r="B1616" s="127"/>
      <c r="D1616" s="234"/>
      <c r="E1616" s="234"/>
      <c r="V1616" s="262"/>
      <c r="W1616" s="254"/>
      <c r="X1616" s="254"/>
      <c r="Y1616" s="154"/>
      <c r="Z1616" s="6"/>
      <c r="AA1616" s="6"/>
      <c r="AB1616" s="6"/>
      <c r="AC1616" s="6"/>
      <c r="AD1616" s="6"/>
      <c r="AE1616" s="75"/>
      <c r="AF1616" s="45"/>
    </row>
    <row r="1617" spans="2:32" customFormat="1" x14ac:dyDescent="0.25">
      <c r="B1617" s="127"/>
      <c r="D1617" s="234"/>
      <c r="E1617" s="234"/>
      <c r="V1617" s="262"/>
      <c r="W1617" s="254"/>
      <c r="X1617" s="254"/>
      <c r="Y1617" s="154"/>
      <c r="Z1617" s="6"/>
      <c r="AA1617" s="6"/>
      <c r="AB1617" s="6"/>
      <c r="AC1617" s="6"/>
      <c r="AD1617" s="6"/>
      <c r="AE1617" s="75"/>
      <c r="AF1617" s="45"/>
    </row>
    <row r="1618" spans="2:32" customFormat="1" x14ac:dyDescent="0.25">
      <c r="B1618" s="127"/>
      <c r="D1618" s="234"/>
      <c r="E1618" s="234"/>
      <c r="V1618" s="262"/>
      <c r="W1618" s="254"/>
      <c r="X1618" s="254"/>
      <c r="Y1618" s="154"/>
      <c r="Z1618" s="6"/>
      <c r="AA1618" s="6"/>
      <c r="AB1618" s="6"/>
      <c r="AC1618" s="6"/>
      <c r="AD1618" s="6"/>
      <c r="AE1618" s="75"/>
      <c r="AF1618" s="45"/>
    </row>
    <row r="1619" spans="2:32" customFormat="1" x14ac:dyDescent="0.25">
      <c r="B1619" s="127"/>
      <c r="D1619" s="234"/>
      <c r="E1619" s="234"/>
      <c r="V1619" s="262"/>
      <c r="W1619" s="254"/>
      <c r="X1619" s="254"/>
      <c r="Y1619" s="154"/>
      <c r="Z1619" s="6"/>
      <c r="AA1619" s="6"/>
      <c r="AB1619" s="6"/>
      <c r="AC1619" s="6"/>
      <c r="AD1619" s="6"/>
      <c r="AE1619" s="75"/>
      <c r="AF1619" s="45"/>
    </row>
    <row r="1620" spans="2:32" customFormat="1" x14ac:dyDescent="0.25">
      <c r="B1620" s="127"/>
      <c r="D1620" s="234"/>
      <c r="E1620" s="234"/>
      <c r="V1620" s="262"/>
      <c r="W1620" s="254"/>
      <c r="X1620" s="254"/>
      <c r="Y1620" s="154"/>
      <c r="Z1620" s="6"/>
      <c r="AA1620" s="6"/>
      <c r="AB1620" s="6"/>
      <c r="AC1620" s="6"/>
      <c r="AD1620" s="6"/>
      <c r="AE1620" s="75"/>
      <c r="AF1620" s="45"/>
    </row>
    <row r="1621" spans="2:32" customFormat="1" x14ac:dyDescent="0.25">
      <c r="B1621" s="127"/>
      <c r="D1621" s="234"/>
      <c r="E1621" s="234"/>
      <c r="V1621" s="262"/>
      <c r="W1621" s="254"/>
      <c r="X1621" s="254"/>
      <c r="Y1621" s="154"/>
      <c r="Z1621" s="6"/>
      <c r="AA1621" s="6"/>
      <c r="AB1621" s="6"/>
      <c r="AC1621" s="6"/>
      <c r="AD1621" s="6"/>
      <c r="AE1621" s="75"/>
      <c r="AF1621" s="45"/>
    </row>
    <row r="1622" spans="2:32" customFormat="1" x14ac:dyDescent="0.25">
      <c r="B1622" s="127"/>
      <c r="D1622" s="234"/>
      <c r="E1622" s="234"/>
      <c r="V1622" s="262"/>
      <c r="W1622" s="254"/>
      <c r="X1622" s="254"/>
      <c r="Y1622" s="154"/>
      <c r="Z1622" s="6"/>
      <c r="AA1622" s="6"/>
      <c r="AB1622" s="6"/>
      <c r="AC1622" s="6"/>
      <c r="AD1622" s="6"/>
      <c r="AE1622" s="75"/>
      <c r="AF1622" s="45"/>
    </row>
    <row r="1623" spans="2:32" customFormat="1" x14ac:dyDescent="0.25">
      <c r="B1623" s="127"/>
      <c r="D1623" s="234"/>
      <c r="E1623" s="234"/>
      <c r="V1623" s="262"/>
      <c r="W1623" s="254"/>
      <c r="X1623" s="254"/>
      <c r="Y1623" s="154"/>
      <c r="Z1623" s="6"/>
      <c r="AA1623" s="6"/>
      <c r="AB1623" s="6"/>
      <c r="AC1623" s="6"/>
      <c r="AD1623" s="6"/>
      <c r="AE1623" s="75"/>
      <c r="AF1623" s="45"/>
    </row>
    <row r="1624" spans="2:32" customFormat="1" x14ac:dyDescent="0.25">
      <c r="B1624" s="127"/>
      <c r="D1624" s="234"/>
      <c r="E1624" s="234"/>
      <c r="V1624" s="262"/>
      <c r="W1624" s="254"/>
      <c r="X1624" s="254"/>
      <c r="Y1624" s="154"/>
      <c r="Z1624" s="6"/>
      <c r="AA1624" s="6"/>
      <c r="AB1624" s="6"/>
      <c r="AC1624" s="6"/>
      <c r="AD1624" s="6"/>
      <c r="AE1624" s="75"/>
      <c r="AF1624" s="45"/>
    </row>
    <row r="1625" spans="2:32" customFormat="1" x14ac:dyDescent="0.25">
      <c r="B1625" s="127"/>
      <c r="D1625" s="234"/>
      <c r="E1625" s="234"/>
      <c r="V1625" s="262"/>
      <c r="W1625" s="254"/>
      <c r="X1625" s="254"/>
      <c r="Y1625" s="154"/>
      <c r="Z1625" s="6"/>
      <c r="AA1625" s="6"/>
      <c r="AB1625" s="6"/>
      <c r="AC1625" s="6"/>
      <c r="AD1625" s="6"/>
      <c r="AE1625" s="75"/>
      <c r="AF1625" s="45"/>
    </row>
    <row r="1626" spans="2:32" customFormat="1" x14ac:dyDescent="0.25">
      <c r="B1626" s="127"/>
      <c r="D1626" s="234"/>
      <c r="E1626" s="234"/>
      <c r="V1626" s="262"/>
      <c r="W1626" s="254"/>
      <c r="X1626" s="254"/>
      <c r="Y1626" s="154"/>
      <c r="Z1626" s="6"/>
      <c r="AA1626" s="6"/>
      <c r="AB1626" s="6"/>
      <c r="AC1626" s="6"/>
      <c r="AD1626" s="6"/>
      <c r="AE1626" s="75"/>
      <c r="AF1626" s="45"/>
    </row>
    <row r="1627" spans="2:32" customFormat="1" x14ac:dyDescent="0.25">
      <c r="B1627" s="127"/>
      <c r="D1627" s="234"/>
      <c r="E1627" s="234"/>
      <c r="V1627" s="262"/>
      <c r="W1627" s="254"/>
      <c r="X1627" s="254"/>
      <c r="Y1627" s="154"/>
      <c r="Z1627" s="6"/>
      <c r="AA1627" s="6"/>
      <c r="AB1627" s="6"/>
      <c r="AC1627" s="6"/>
      <c r="AD1627" s="6"/>
      <c r="AE1627" s="75"/>
      <c r="AF1627" s="45"/>
    </row>
    <row r="1628" spans="2:32" customFormat="1" x14ac:dyDescent="0.25">
      <c r="B1628" s="127"/>
      <c r="D1628" s="234"/>
      <c r="E1628" s="234"/>
      <c r="V1628" s="262"/>
      <c r="W1628" s="254"/>
      <c r="X1628" s="254"/>
      <c r="Y1628" s="154"/>
      <c r="Z1628" s="6"/>
      <c r="AA1628" s="6"/>
      <c r="AB1628" s="6"/>
      <c r="AC1628" s="6"/>
      <c r="AD1628" s="6"/>
      <c r="AE1628" s="75"/>
      <c r="AF1628" s="45"/>
    </row>
    <row r="1629" spans="2:32" customFormat="1" x14ac:dyDescent="0.25">
      <c r="B1629" s="127"/>
      <c r="D1629" s="234"/>
      <c r="E1629" s="234"/>
      <c r="V1629" s="262"/>
      <c r="W1629" s="254"/>
      <c r="X1629" s="254"/>
      <c r="Y1629" s="154"/>
      <c r="Z1629" s="6"/>
      <c r="AA1629" s="6"/>
      <c r="AB1629" s="6"/>
      <c r="AC1629" s="6"/>
      <c r="AD1629" s="6"/>
      <c r="AE1629" s="75"/>
      <c r="AF1629" s="45"/>
    </row>
    <row r="1630" spans="2:32" customFormat="1" x14ac:dyDescent="0.25">
      <c r="B1630" s="127"/>
      <c r="D1630" s="234"/>
      <c r="E1630" s="234"/>
      <c r="V1630" s="262"/>
      <c r="W1630" s="254"/>
      <c r="X1630" s="254"/>
      <c r="Y1630" s="154"/>
      <c r="Z1630" s="6"/>
      <c r="AA1630" s="6"/>
      <c r="AB1630" s="6"/>
      <c r="AC1630" s="6"/>
      <c r="AD1630" s="6"/>
      <c r="AE1630" s="75"/>
      <c r="AF1630" s="45"/>
    </row>
    <row r="1631" spans="2:32" customFormat="1" x14ac:dyDescent="0.25">
      <c r="B1631" s="127"/>
      <c r="D1631" s="234"/>
      <c r="E1631" s="234"/>
      <c r="V1631" s="262"/>
      <c r="W1631" s="254"/>
      <c r="X1631" s="254"/>
      <c r="Y1631" s="154"/>
      <c r="Z1631" s="6"/>
      <c r="AA1631" s="6"/>
      <c r="AB1631" s="6"/>
      <c r="AC1631" s="6"/>
      <c r="AD1631" s="6"/>
      <c r="AE1631" s="75"/>
      <c r="AF1631" s="45"/>
    </row>
    <row r="1632" spans="2:32" customFormat="1" x14ac:dyDescent="0.25">
      <c r="B1632" s="127"/>
      <c r="D1632" s="234"/>
      <c r="E1632" s="234"/>
      <c r="V1632" s="262"/>
      <c r="W1632" s="254"/>
      <c r="X1632" s="254"/>
      <c r="Y1632" s="154"/>
      <c r="Z1632" s="6"/>
      <c r="AA1632" s="6"/>
      <c r="AB1632" s="6"/>
      <c r="AC1632" s="6"/>
      <c r="AD1632" s="6"/>
      <c r="AE1632" s="75"/>
      <c r="AF1632" s="45"/>
    </row>
    <row r="1633" spans="2:32" customFormat="1" x14ac:dyDescent="0.25">
      <c r="B1633" s="127"/>
      <c r="D1633" s="234"/>
      <c r="E1633" s="234"/>
      <c r="V1633" s="262"/>
      <c r="W1633" s="254"/>
      <c r="X1633" s="254"/>
      <c r="Y1633" s="154"/>
      <c r="Z1633" s="6"/>
      <c r="AA1633" s="6"/>
      <c r="AB1633" s="6"/>
      <c r="AC1633" s="6"/>
      <c r="AD1633" s="6"/>
      <c r="AE1633" s="75"/>
      <c r="AF1633" s="45"/>
    </row>
    <row r="1634" spans="2:32" customFormat="1" x14ac:dyDescent="0.25">
      <c r="B1634" s="127"/>
      <c r="D1634" s="234"/>
      <c r="E1634" s="234"/>
      <c r="V1634" s="262"/>
      <c r="W1634" s="254"/>
      <c r="X1634" s="254"/>
      <c r="Y1634" s="154"/>
      <c r="Z1634" s="6"/>
      <c r="AA1634" s="6"/>
      <c r="AB1634" s="6"/>
      <c r="AC1634" s="6"/>
      <c r="AD1634" s="6"/>
      <c r="AE1634" s="75"/>
      <c r="AF1634" s="45"/>
    </row>
    <row r="1635" spans="2:32" customFormat="1" x14ac:dyDescent="0.25">
      <c r="B1635" s="127"/>
      <c r="D1635" s="234"/>
      <c r="E1635" s="234"/>
      <c r="V1635" s="262"/>
      <c r="W1635" s="254"/>
      <c r="X1635" s="254"/>
      <c r="Y1635" s="154"/>
      <c r="Z1635" s="6"/>
      <c r="AA1635" s="6"/>
      <c r="AB1635" s="6"/>
      <c r="AC1635" s="6"/>
      <c r="AD1635" s="6"/>
      <c r="AE1635" s="75"/>
      <c r="AF1635" s="45"/>
    </row>
    <row r="1636" spans="2:32" customFormat="1" x14ac:dyDescent="0.25">
      <c r="B1636" s="127"/>
      <c r="D1636" s="234"/>
      <c r="E1636" s="234"/>
      <c r="V1636" s="262"/>
      <c r="W1636" s="254"/>
      <c r="X1636" s="254"/>
      <c r="Y1636" s="154"/>
      <c r="Z1636" s="6"/>
      <c r="AA1636" s="6"/>
      <c r="AB1636" s="6"/>
      <c r="AC1636" s="6"/>
      <c r="AD1636" s="6"/>
      <c r="AE1636" s="75"/>
      <c r="AF1636" s="45"/>
    </row>
    <row r="1637" spans="2:32" customFormat="1" x14ac:dyDescent="0.25">
      <c r="B1637" s="127"/>
      <c r="D1637" s="234"/>
      <c r="E1637" s="234"/>
      <c r="V1637" s="262"/>
      <c r="W1637" s="254"/>
      <c r="X1637" s="254"/>
      <c r="Y1637" s="154"/>
      <c r="Z1637" s="6"/>
      <c r="AA1637" s="6"/>
      <c r="AB1637" s="6"/>
      <c r="AC1637" s="6"/>
      <c r="AD1637" s="6"/>
      <c r="AE1637" s="75"/>
      <c r="AF1637" s="45"/>
    </row>
    <row r="1638" spans="2:32" customFormat="1" x14ac:dyDescent="0.25">
      <c r="B1638" s="127"/>
      <c r="D1638" s="234"/>
      <c r="E1638" s="234"/>
      <c r="V1638" s="262"/>
      <c r="W1638" s="254"/>
      <c r="X1638" s="254"/>
      <c r="Y1638" s="154"/>
      <c r="Z1638" s="6"/>
      <c r="AA1638" s="6"/>
      <c r="AB1638" s="6"/>
      <c r="AC1638" s="6"/>
      <c r="AD1638" s="6"/>
      <c r="AE1638" s="75"/>
      <c r="AF1638" s="45"/>
    </row>
    <row r="1639" spans="2:32" customFormat="1" x14ac:dyDescent="0.25">
      <c r="B1639" s="127"/>
      <c r="D1639" s="234"/>
      <c r="E1639" s="234"/>
      <c r="V1639" s="262"/>
      <c r="W1639" s="254"/>
      <c r="X1639" s="254"/>
      <c r="Y1639" s="154"/>
      <c r="Z1639" s="6"/>
      <c r="AA1639" s="6"/>
      <c r="AB1639" s="6"/>
      <c r="AC1639" s="6"/>
      <c r="AD1639" s="6"/>
      <c r="AE1639" s="75"/>
      <c r="AF1639" s="45"/>
    </row>
    <row r="1640" spans="2:32" customFormat="1" x14ac:dyDescent="0.25">
      <c r="B1640" s="127"/>
      <c r="D1640" s="234"/>
      <c r="E1640" s="234"/>
      <c r="V1640" s="262"/>
      <c r="W1640" s="254"/>
      <c r="X1640" s="254"/>
      <c r="Y1640" s="154"/>
      <c r="Z1640" s="6"/>
      <c r="AA1640" s="6"/>
      <c r="AB1640" s="6"/>
      <c r="AC1640" s="6"/>
      <c r="AD1640" s="6"/>
      <c r="AE1640" s="75"/>
      <c r="AF1640" s="45"/>
    </row>
    <row r="1641" spans="2:32" customFormat="1" x14ac:dyDescent="0.25">
      <c r="B1641" s="127"/>
      <c r="D1641" s="234"/>
      <c r="E1641" s="234"/>
      <c r="V1641" s="262"/>
      <c r="W1641" s="254"/>
      <c r="X1641" s="254"/>
      <c r="Y1641" s="154"/>
      <c r="Z1641" s="6"/>
      <c r="AA1641" s="6"/>
      <c r="AB1641" s="6"/>
      <c r="AC1641" s="6"/>
      <c r="AD1641" s="6"/>
      <c r="AE1641" s="75"/>
      <c r="AF1641" s="45"/>
    </row>
    <row r="1642" spans="2:32" customFormat="1" x14ac:dyDescent="0.25">
      <c r="B1642" s="127"/>
      <c r="D1642" s="234"/>
      <c r="E1642" s="234"/>
      <c r="V1642" s="262"/>
      <c r="W1642" s="254"/>
      <c r="X1642" s="254"/>
      <c r="Y1642" s="154"/>
      <c r="Z1642" s="6"/>
      <c r="AA1642" s="6"/>
      <c r="AB1642" s="6"/>
      <c r="AC1642" s="6"/>
      <c r="AD1642" s="6"/>
      <c r="AE1642" s="75"/>
      <c r="AF1642" s="45"/>
    </row>
    <row r="1643" spans="2:32" customFormat="1" x14ac:dyDescent="0.25">
      <c r="B1643" s="127"/>
      <c r="D1643" s="234"/>
      <c r="E1643" s="234"/>
      <c r="V1643" s="262"/>
      <c r="W1643" s="254"/>
      <c r="X1643" s="254"/>
      <c r="Y1643" s="154"/>
      <c r="Z1643" s="6"/>
      <c r="AA1643" s="6"/>
      <c r="AB1643" s="6"/>
      <c r="AC1643" s="6"/>
      <c r="AD1643" s="6"/>
      <c r="AE1643" s="75"/>
      <c r="AF1643" s="45"/>
    </row>
    <row r="1644" spans="2:32" customFormat="1" x14ac:dyDescent="0.25">
      <c r="B1644" s="127"/>
      <c r="D1644" s="234"/>
      <c r="E1644" s="234"/>
      <c r="V1644" s="262"/>
      <c r="W1644" s="254"/>
      <c r="X1644" s="254"/>
      <c r="Y1644" s="154"/>
      <c r="Z1644" s="6"/>
      <c r="AA1644" s="6"/>
      <c r="AB1644" s="6"/>
      <c r="AC1644" s="6"/>
      <c r="AD1644" s="6"/>
      <c r="AE1644" s="75"/>
      <c r="AF1644" s="45"/>
    </row>
    <row r="1645" spans="2:32" customFormat="1" x14ac:dyDescent="0.25">
      <c r="B1645" s="127"/>
      <c r="D1645" s="234"/>
      <c r="E1645" s="234"/>
      <c r="V1645" s="262"/>
      <c r="W1645" s="254"/>
      <c r="X1645" s="254"/>
      <c r="Y1645" s="154"/>
      <c r="Z1645" s="6"/>
      <c r="AA1645" s="6"/>
      <c r="AB1645" s="6"/>
      <c r="AC1645" s="6"/>
      <c r="AD1645" s="6"/>
      <c r="AE1645" s="75"/>
      <c r="AF1645" s="45"/>
    </row>
    <row r="1646" spans="2:32" customFormat="1" x14ac:dyDescent="0.25">
      <c r="B1646" s="127"/>
      <c r="D1646" s="234"/>
      <c r="E1646" s="234"/>
      <c r="V1646" s="262"/>
      <c r="W1646" s="254"/>
      <c r="X1646" s="254"/>
      <c r="Y1646" s="154"/>
      <c r="Z1646" s="6"/>
      <c r="AA1646" s="6"/>
      <c r="AB1646" s="6"/>
      <c r="AC1646" s="6"/>
      <c r="AD1646" s="6"/>
      <c r="AE1646" s="75"/>
      <c r="AF1646" s="45"/>
    </row>
    <row r="1647" spans="2:32" customFormat="1" x14ac:dyDescent="0.25">
      <c r="B1647" s="127"/>
      <c r="D1647" s="234"/>
      <c r="E1647" s="234"/>
      <c r="V1647" s="262"/>
      <c r="W1647" s="254"/>
      <c r="X1647" s="254"/>
      <c r="Y1647" s="154"/>
      <c r="Z1647" s="6"/>
      <c r="AA1647" s="6"/>
      <c r="AB1647" s="6"/>
      <c r="AC1647" s="6"/>
      <c r="AD1647" s="6"/>
      <c r="AE1647" s="75"/>
      <c r="AF1647" s="45"/>
    </row>
    <row r="1648" spans="2:32" customFormat="1" x14ac:dyDescent="0.25">
      <c r="B1648" s="127"/>
      <c r="D1648" s="234"/>
      <c r="E1648" s="234"/>
      <c r="V1648" s="262"/>
      <c r="W1648" s="254"/>
      <c r="X1648" s="254"/>
      <c r="Y1648" s="154"/>
      <c r="Z1648" s="6"/>
      <c r="AA1648" s="6"/>
      <c r="AB1648" s="6"/>
      <c r="AC1648" s="6"/>
      <c r="AD1648" s="6"/>
      <c r="AE1648" s="75"/>
      <c r="AF1648" s="45"/>
    </row>
    <row r="1649" spans="1:32" customFormat="1" x14ac:dyDescent="0.25">
      <c r="B1649" s="127"/>
      <c r="D1649" s="234"/>
      <c r="E1649" s="234"/>
      <c r="V1649" s="262"/>
      <c r="W1649" s="254"/>
      <c r="X1649" s="254"/>
      <c r="Y1649" s="154"/>
      <c r="Z1649" s="6"/>
      <c r="AA1649" s="6"/>
      <c r="AB1649" s="6"/>
      <c r="AC1649" s="6"/>
      <c r="AD1649" s="6"/>
      <c r="AE1649" s="75"/>
      <c r="AF1649" s="45"/>
    </row>
    <row r="1650" spans="1:32" customFormat="1" x14ac:dyDescent="0.25">
      <c r="B1650" s="127"/>
      <c r="D1650" s="234"/>
      <c r="E1650" s="234"/>
      <c r="V1650" s="262"/>
      <c r="W1650" s="254"/>
      <c r="X1650" s="254"/>
      <c r="Y1650" s="154"/>
      <c r="Z1650" s="6"/>
      <c r="AA1650" s="6"/>
      <c r="AB1650" s="6"/>
      <c r="AC1650" s="6"/>
      <c r="AD1650" s="6"/>
      <c r="AE1650" s="75"/>
      <c r="AF1650" s="45"/>
    </row>
    <row r="1651" spans="1:32" customFormat="1" x14ac:dyDescent="0.25">
      <c r="B1651" s="127"/>
      <c r="D1651" s="234"/>
      <c r="E1651" s="234"/>
      <c r="V1651" s="262"/>
      <c r="W1651" s="254"/>
      <c r="X1651" s="254"/>
      <c r="Y1651" s="154"/>
      <c r="Z1651" s="6"/>
      <c r="AA1651" s="6"/>
      <c r="AB1651" s="6"/>
      <c r="AC1651" s="6"/>
      <c r="AD1651" s="6"/>
      <c r="AE1651" s="75"/>
      <c r="AF1651" s="45"/>
    </row>
    <row r="1652" spans="1:32" customFormat="1" x14ac:dyDescent="0.25">
      <c r="B1652" s="127"/>
      <c r="D1652" s="234"/>
      <c r="E1652" s="234"/>
      <c r="V1652" s="262"/>
      <c r="W1652" s="254"/>
      <c r="X1652" s="254"/>
      <c r="Y1652" s="154"/>
      <c r="Z1652" s="6"/>
      <c r="AA1652" s="6"/>
      <c r="AB1652" s="6"/>
      <c r="AC1652" s="6"/>
      <c r="AD1652" s="6"/>
      <c r="AE1652" s="75"/>
      <c r="AF1652" s="45"/>
    </row>
    <row r="1653" spans="1:32" customFormat="1" x14ac:dyDescent="0.25">
      <c r="B1653" s="127"/>
      <c r="D1653" s="234"/>
      <c r="E1653" s="234"/>
      <c r="V1653" s="262"/>
      <c r="W1653" s="254"/>
      <c r="X1653" s="254"/>
      <c r="Y1653" s="154"/>
      <c r="Z1653" s="6"/>
      <c r="AA1653" s="6"/>
      <c r="AB1653" s="6"/>
      <c r="AC1653" s="6"/>
      <c r="AD1653" s="6"/>
      <c r="AE1653" s="75"/>
      <c r="AF1653" s="45"/>
    </row>
    <row r="1654" spans="1:32" customFormat="1" x14ac:dyDescent="0.25">
      <c r="B1654" s="127"/>
      <c r="D1654" s="234"/>
      <c r="E1654" s="234"/>
      <c r="V1654" s="262"/>
      <c r="W1654" s="254"/>
      <c r="X1654" s="254"/>
      <c r="Y1654" s="154"/>
      <c r="Z1654" s="6"/>
      <c r="AA1654" s="6"/>
      <c r="AB1654" s="6"/>
      <c r="AC1654" s="6"/>
      <c r="AD1654" s="6"/>
      <c r="AE1654" s="75"/>
      <c r="AF1654" s="45"/>
    </row>
    <row r="1655" spans="1:32" customFormat="1" x14ac:dyDescent="0.25">
      <c r="B1655" s="127"/>
      <c r="D1655" s="234"/>
      <c r="E1655" s="234"/>
      <c r="V1655" s="262"/>
      <c r="W1655" s="254"/>
      <c r="X1655" s="254"/>
      <c r="Y1655" s="154"/>
      <c r="Z1655" s="6"/>
      <c r="AA1655" s="6"/>
      <c r="AB1655" s="6"/>
      <c r="AC1655" s="6"/>
      <c r="AD1655" s="6"/>
      <c r="AE1655" s="75"/>
      <c r="AF1655" s="45"/>
    </row>
    <row r="1656" spans="1:32" customFormat="1" x14ac:dyDescent="0.25">
      <c r="B1656" s="127"/>
      <c r="D1656" s="234"/>
      <c r="E1656" s="234"/>
      <c r="V1656" s="262"/>
      <c r="W1656" s="254"/>
      <c r="X1656" s="254"/>
      <c r="Y1656" s="154"/>
      <c r="Z1656" s="6"/>
      <c r="AA1656" s="6"/>
      <c r="AB1656" s="6"/>
      <c r="AC1656" s="6"/>
      <c r="AD1656" s="6"/>
      <c r="AE1656" s="75"/>
      <c r="AF1656" s="45"/>
    </row>
    <row r="1657" spans="1:32" customFormat="1" x14ac:dyDescent="0.25">
      <c r="B1657" s="127"/>
      <c r="D1657" s="234"/>
      <c r="E1657" s="234"/>
      <c r="V1657" s="262"/>
      <c r="W1657" s="254"/>
      <c r="X1657" s="254"/>
      <c r="Y1657" s="154"/>
      <c r="Z1657" s="6"/>
      <c r="AA1657" s="6"/>
      <c r="AB1657" s="6"/>
      <c r="AC1657" s="6"/>
      <c r="AD1657" s="6"/>
      <c r="AE1657" s="75"/>
      <c r="AF1657" s="45"/>
    </row>
    <row r="1658" spans="1:32" customFormat="1" x14ac:dyDescent="0.25">
      <c r="B1658" s="127"/>
      <c r="D1658" s="234"/>
      <c r="E1658" s="234"/>
      <c r="V1658" s="262"/>
      <c r="W1658" s="254"/>
      <c r="X1658" s="254"/>
      <c r="Y1658" s="154"/>
      <c r="Z1658" s="6"/>
      <c r="AA1658" s="6"/>
      <c r="AB1658" s="6"/>
      <c r="AC1658" s="6"/>
      <c r="AD1658" s="6"/>
      <c r="AE1658" s="75"/>
      <c r="AF1658" s="45"/>
    </row>
    <row r="1659" spans="1:32" customFormat="1" x14ac:dyDescent="0.25">
      <c r="B1659" s="127"/>
      <c r="D1659" s="234"/>
      <c r="E1659" s="234"/>
      <c r="V1659" s="262"/>
      <c r="W1659" s="254"/>
      <c r="X1659" s="254"/>
      <c r="Y1659" s="154"/>
      <c r="Z1659" s="6"/>
      <c r="AA1659" s="6"/>
      <c r="AB1659" s="6"/>
      <c r="AC1659" s="6"/>
      <c r="AD1659" s="6"/>
      <c r="AE1659" s="75"/>
      <c r="AF1659" s="45"/>
    </row>
    <row r="1660" spans="1:32" customFormat="1" x14ac:dyDescent="0.25">
      <c r="B1660" s="127"/>
      <c r="D1660" s="234"/>
      <c r="E1660" s="234"/>
      <c r="V1660" s="262"/>
      <c r="W1660" s="254"/>
      <c r="X1660" s="254"/>
      <c r="Y1660" s="154"/>
      <c r="Z1660" s="6"/>
      <c r="AA1660" s="6"/>
      <c r="AB1660" s="6"/>
      <c r="AC1660" s="6"/>
      <c r="AD1660" s="6"/>
      <c r="AE1660" s="75"/>
      <c r="AF1660" s="45"/>
    </row>
    <row r="1661" spans="1:32" customFormat="1" x14ac:dyDescent="0.25">
      <c r="B1661" s="127"/>
      <c r="D1661" s="234"/>
      <c r="E1661" s="234"/>
      <c r="V1661" s="262"/>
      <c r="W1661" s="254"/>
      <c r="X1661" s="254"/>
      <c r="Y1661" s="154"/>
      <c r="Z1661" s="6"/>
      <c r="AA1661" s="6"/>
      <c r="AB1661" s="6"/>
      <c r="AC1661" s="6"/>
      <c r="AD1661" s="6"/>
      <c r="AE1661" s="75"/>
      <c r="AF1661" s="45"/>
    </row>
    <row r="1662" spans="1:32" customFormat="1" x14ac:dyDescent="0.25">
      <c r="B1662" s="127"/>
      <c r="D1662" s="234"/>
      <c r="E1662" s="234"/>
      <c r="V1662" s="262"/>
      <c r="W1662" s="254"/>
      <c r="X1662" s="254"/>
      <c r="Y1662" s="154"/>
      <c r="Z1662" s="6"/>
      <c r="AA1662" s="6"/>
      <c r="AB1662" s="6"/>
      <c r="AC1662" s="6"/>
      <c r="AD1662" s="6"/>
      <c r="AE1662" s="75"/>
      <c r="AF1662" s="45"/>
    </row>
    <row r="1663" spans="1:32" customFormat="1" x14ac:dyDescent="0.25">
      <c r="A1663" s="112"/>
      <c r="B1663" s="153"/>
      <c r="C1663" s="90"/>
      <c r="D1663" s="234"/>
      <c r="E1663" s="234"/>
      <c r="V1663" s="262"/>
      <c r="W1663" s="254"/>
      <c r="X1663" s="254"/>
      <c r="Y1663" s="154"/>
      <c r="Z1663" s="6"/>
      <c r="AA1663" s="6"/>
      <c r="AB1663" s="6"/>
      <c r="AC1663" s="6"/>
      <c r="AD1663" s="6"/>
      <c r="AE1663" s="75"/>
      <c r="AF1663" s="45"/>
    </row>
  </sheetData>
  <sheetProtection password="EC77" sheet="1" objects="1" scenarios="1"/>
  <mergeCells count="9">
    <mergeCell ref="D1:AH1"/>
    <mergeCell ref="A2:C4"/>
    <mergeCell ref="AA4:AE4"/>
    <mergeCell ref="D4:F4"/>
    <mergeCell ref="G4:O4"/>
    <mergeCell ref="AF4:AI4"/>
    <mergeCell ref="Y4:Z4"/>
    <mergeCell ref="D2:AI2"/>
    <mergeCell ref="Q4:X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72"/>
  <sheetViews>
    <sheetView workbookViewId="0">
      <selection sqref="A1:I1"/>
    </sheetView>
  </sheetViews>
  <sheetFormatPr defaultRowHeight="15" x14ac:dyDescent="0.25"/>
  <cols>
    <col min="1" max="1" width="8.7109375" style="67" bestFit="1" customWidth="1"/>
    <col min="2" max="2" width="43.7109375" customWidth="1"/>
    <col min="3" max="3" width="7.5703125" style="67" customWidth="1"/>
    <col min="4" max="4" width="10.28515625" style="67" bestFit="1" customWidth="1"/>
    <col min="5" max="5" width="2.5703125" customWidth="1"/>
    <col min="6" max="6" width="8.7109375" style="67" bestFit="1" customWidth="1"/>
    <col min="7" max="7" width="31.7109375" style="67" customWidth="1"/>
    <col min="9" max="9" width="10.28515625" style="67" bestFit="1" customWidth="1"/>
  </cols>
  <sheetData>
    <row r="1" spans="1:9" ht="30" customHeight="1" x14ac:dyDescent="0.25">
      <c r="A1" s="862" t="s">
        <v>137</v>
      </c>
      <c r="B1" s="862"/>
      <c r="C1" s="862"/>
      <c r="D1" s="862"/>
      <c r="E1" s="862"/>
      <c r="F1" s="862"/>
      <c r="G1" s="862"/>
      <c r="H1" s="862"/>
      <c r="I1" s="862"/>
    </row>
    <row r="2" spans="1:9" s="44" customFormat="1" ht="22.5" customHeight="1" x14ac:dyDescent="0.25">
      <c r="A2" s="107" t="s">
        <v>100</v>
      </c>
      <c r="B2" s="107" t="s">
        <v>77</v>
      </c>
      <c r="C2" s="107" t="s">
        <v>3</v>
      </c>
      <c r="D2" s="107" t="s">
        <v>78</v>
      </c>
      <c r="E2" s="109"/>
      <c r="F2" s="108" t="s">
        <v>101</v>
      </c>
      <c r="G2" s="108" t="s">
        <v>77</v>
      </c>
      <c r="H2" s="108" t="s">
        <v>3</v>
      </c>
      <c r="I2" s="108" t="s">
        <v>79</v>
      </c>
    </row>
    <row r="3" spans="1:9" x14ac:dyDescent="0.25">
      <c r="A3" s="8">
        <v>1</v>
      </c>
      <c r="B3" s="9" t="s">
        <v>9</v>
      </c>
      <c r="C3" s="15" t="s">
        <v>5</v>
      </c>
      <c r="D3" s="8">
        <v>5</v>
      </c>
      <c r="E3" s="110"/>
      <c r="F3" s="8">
        <v>1</v>
      </c>
      <c r="G3" s="18" t="s">
        <v>37</v>
      </c>
      <c r="H3" s="15" t="s">
        <v>21</v>
      </c>
      <c r="I3" s="8">
        <v>8</v>
      </c>
    </row>
    <row r="4" spans="1:9" x14ac:dyDescent="0.25">
      <c r="A4" s="8">
        <v>2</v>
      </c>
      <c r="B4" s="9" t="s">
        <v>17</v>
      </c>
      <c r="C4" s="15" t="s">
        <v>18</v>
      </c>
      <c r="D4" s="8">
        <v>5</v>
      </c>
      <c r="E4" s="110"/>
      <c r="F4" s="8">
        <v>2</v>
      </c>
      <c r="G4" s="9" t="s">
        <v>36</v>
      </c>
      <c r="H4" s="15" t="s">
        <v>21</v>
      </c>
      <c r="I4" s="8">
        <v>6</v>
      </c>
    </row>
    <row r="5" spans="1:9" x14ac:dyDescent="0.25">
      <c r="A5" s="8">
        <v>3</v>
      </c>
      <c r="B5" s="9" t="s">
        <v>20</v>
      </c>
      <c r="C5" s="15" t="s">
        <v>21</v>
      </c>
      <c r="D5" s="8">
        <v>5</v>
      </c>
      <c r="E5" s="110"/>
      <c r="F5" s="8">
        <v>3</v>
      </c>
      <c r="G5" s="9" t="s">
        <v>19</v>
      </c>
      <c r="H5" s="15" t="s">
        <v>18</v>
      </c>
      <c r="I5" s="8">
        <v>5</v>
      </c>
    </row>
    <row r="6" spans="1:9" x14ac:dyDescent="0.25">
      <c r="A6" s="8">
        <v>4</v>
      </c>
      <c r="B6" s="9" t="s">
        <v>42</v>
      </c>
      <c r="C6" s="15" t="s">
        <v>43</v>
      </c>
      <c r="D6" s="8">
        <v>5</v>
      </c>
      <c r="E6" s="110"/>
      <c r="F6" s="8">
        <v>4</v>
      </c>
      <c r="G6" s="9" t="s">
        <v>34</v>
      </c>
      <c r="H6" s="15" t="s">
        <v>21</v>
      </c>
      <c r="I6" s="8">
        <v>5</v>
      </c>
    </row>
    <row r="7" spans="1:9" x14ac:dyDescent="0.25">
      <c r="A7" s="8">
        <v>5</v>
      </c>
      <c r="B7" s="9" t="s">
        <v>61</v>
      </c>
      <c r="C7" s="15" t="s">
        <v>62</v>
      </c>
      <c r="D7" s="8">
        <v>5</v>
      </c>
      <c r="E7" s="110"/>
      <c r="F7" s="8">
        <v>5</v>
      </c>
      <c r="G7" s="9" t="s">
        <v>51</v>
      </c>
      <c r="H7" s="15" t="s">
        <v>43</v>
      </c>
      <c r="I7" s="8">
        <v>5</v>
      </c>
    </row>
    <row r="8" spans="1:9" x14ac:dyDescent="0.25">
      <c r="A8" s="8">
        <v>6</v>
      </c>
      <c r="B8" s="9" t="s">
        <v>6</v>
      </c>
      <c r="C8" s="15" t="s">
        <v>5</v>
      </c>
      <c r="D8" s="8">
        <v>4</v>
      </c>
      <c r="E8" s="110"/>
      <c r="F8" s="8">
        <v>6</v>
      </c>
      <c r="G8" s="9" t="s">
        <v>65</v>
      </c>
      <c r="H8" s="15" t="s">
        <v>63</v>
      </c>
      <c r="I8" s="8">
        <v>5</v>
      </c>
    </row>
    <row r="9" spans="1:9" x14ac:dyDescent="0.25">
      <c r="A9" s="8">
        <v>7</v>
      </c>
      <c r="B9" s="9" t="s">
        <v>45</v>
      </c>
      <c r="C9" s="15" t="s">
        <v>43</v>
      </c>
      <c r="D9" s="8">
        <v>4</v>
      </c>
      <c r="E9" s="110"/>
      <c r="F9" s="8">
        <v>7</v>
      </c>
      <c r="G9" s="9" t="s">
        <v>15</v>
      </c>
      <c r="H9" s="15" t="s">
        <v>5</v>
      </c>
      <c r="I9" s="8">
        <v>4</v>
      </c>
    </row>
    <row r="10" spans="1:9" x14ac:dyDescent="0.25">
      <c r="A10" s="8">
        <v>8</v>
      </c>
      <c r="B10" s="9" t="s">
        <v>23</v>
      </c>
      <c r="C10" s="15" t="s">
        <v>63</v>
      </c>
      <c r="D10" s="8">
        <v>4</v>
      </c>
      <c r="E10" s="110"/>
      <c r="F10" s="8">
        <v>8</v>
      </c>
      <c r="G10" s="9" t="s">
        <v>33</v>
      </c>
      <c r="H10" s="15" t="s">
        <v>21</v>
      </c>
      <c r="I10" s="8">
        <v>4</v>
      </c>
    </row>
    <row r="11" spans="1:9" x14ac:dyDescent="0.25">
      <c r="A11" s="8">
        <v>9</v>
      </c>
      <c r="B11" s="9" t="s">
        <v>15</v>
      </c>
      <c r="C11" s="15" t="s">
        <v>5</v>
      </c>
      <c r="D11" s="8">
        <v>3</v>
      </c>
      <c r="E11" s="110"/>
      <c r="F11" s="8">
        <v>9</v>
      </c>
      <c r="G11" s="9" t="s">
        <v>16</v>
      </c>
      <c r="H11" s="15" t="s">
        <v>5</v>
      </c>
      <c r="I11" s="8">
        <v>3</v>
      </c>
    </row>
    <row r="12" spans="1:9" x14ac:dyDescent="0.25">
      <c r="A12" s="8">
        <v>10</v>
      </c>
      <c r="B12" s="9" t="s">
        <v>4</v>
      </c>
      <c r="C12" s="15" t="s">
        <v>5</v>
      </c>
      <c r="D12" s="8">
        <v>3</v>
      </c>
      <c r="E12" s="110"/>
      <c r="F12" s="8">
        <v>10</v>
      </c>
      <c r="G12" s="9" t="s">
        <v>11</v>
      </c>
      <c r="H12" s="15" t="s">
        <v>5</v>
      </c>
      <c r="I12" s="8">
        <v>3</v>
      </c>
    </row>
    <row r="13" spans="1:9" x14ac:dyDescent="0.25">
      <c r="A13" s="8">
        <v>11</v>
      </c>
      <c r="B13" s="9" t="s">
        <v>29</v>
      </c>
      <c r="C13" s="15" t="s">
        <v>21</v>
      </c>
      <c r="D13" s="8">
        <v>3</v>
      </c>
      <c r="E13" s="110"/>
      <c r="F13" s="8">
        <v>11</v>
      </c>
      <c r="G13" s="9" t="s">
        <v>13</v>
      </c>
      <c r="H13" s="15" t="s">
        <v>5</v>
      </c>
      <c r="I13" s="8">
        <v>3</v>
      </c>
    </row>
    <row r="14" spans="1:9" x14ac:dyDescent="0.25">
      <c r="A14" s="8">
        <v>12</v>
      </c>
      <c r="B14" s="76" t="s">
        <v>106</v>
      </c>
      <c r="C14" s="15" t="s">
        <v>21</v>
      </c>
      <c r="D14" s="8">
        <v>3</v>
      </c>
      <c r="E14" s="110"/>
      <c r="F14" s="8">
        <v>12</v>
      </c>
      <c r="G14" s="9" t="s">
        <v>24</v>
      </c>
      <c r="H14" s="15" t="s">
        <v>21</v>
      </c>
      <c r="I14" s="8">
        <v>3</v>
      </c>
    </row>
    <row r="15" spans="1:9" x14ac:dyDescent="0.25">
      <c r="A15" s="8">
        <v>13</v>
      </c>
      <c r="B15" s="9" t="s">
        <v>27</v>
      </c>
      <c r="C15" s="15" t="s">
        <v>21</v>
      </c>
      <c r="D15" s="8">
        <v>3</v>
      </c>
      <c r="E15" s="110"/>
      <c r="F15" s="8">
        <v>13</v>
      </c>
      <c r="G15" s="9" t="s">
        <v>30</v>
      </c>
      <c r="H15" s="15" t="s">
        <v>21</v>
      </c>
      <c r="I15" s="8">
        <v>3</v>
      </c>
    </row>
    <row r="16" spans="1:9" x14ac:dyDescent="0.25">
      <c r="A16" s="8">
        <v>14</v>
      </c>
      <c r="B16" s="9" t="s">
        <v>26</v>
      </c>
      <c r="C16" s="15" t="s">
        <v>21</v>
      </c>
      <c r="D16" s="8">
        <v>3</v>
      </c>
      <c r="E16" s="110"/>
      <c r="F16" s="8">
        <v>14</v>
      </c>
      <c r="G16" s="9" t="s">
        <v>31</v>
      </c>
      <c r="H16" s="15" t="s">
        <v>21</v>
      </c>
      <c r="I16" s="8">
        <v>3</v>
      </c>
    </row>
    <row r="17" spans="1:9" x14ac:dyDescent="0.25">
      <c r="A17" s="8">
        <v>15</v>
      </c>
      <c r="B17" s="77" t="s">
        <v>120</v>
      </c>
      <c r="C17" s="71" t="s">
        <v>40</v>
      </c>
      <c r="D17" s="8">
        <v>3</v>
      </c>
      <c r="E17" s="110"/>
      <c r="F17" s="8">
        <v>15</v>
      </c>
      <c r="G17" s="18" t="s">
        <v>35</v>
      </c>
      <c r="H17" s="15" t="s">
        <v>21</v>
      </c>
      <c r="I17" s="8">
        <v>3</v>
      </c>
    </row>
    <row r="18" spans="1:9" x14ac:dyDescent="0.25">
      <c r="A18" s="8">
        <v>16</v>
      </c>
      <c r="B18" s="47" t="s">
        <v>122</v>
      </c>
      <c r="C18" s="71" t="s">
        <v>40</v>
      </c>
      <c r="D18" s="8">
        <v>3</v>
      </c>
      <c r="E18" s="110"/>
      <c r="F18" s="8">
        <v>16</v>
      </c>
      <c r="G18" s="22" t="s">
        <v>108</v>
      </c>
      <c r="H18" s="15" t="s">
        <v>21</v>
      </c>
      <c r="I18" s="8">
        <v>3</v>
      </c>
    </row>
    <row r="19" spans="1:9" x14ac:dyDescent="0.25">
      <c r="A19" s="8">
        <v>17</v>
      </c>
      <c r="B19" s="19" t="s">
        <v>110</v>
      </c>
      <c r="C19" s="15" t="s">
        <v>43</v>
      </c>
      <c r="D19" s="8">
        <v>3</v>
      </c>
      <c r="E19" s="110"/>
      <c r="F19" s="8">
        <v>17</v>
      </c>
      <c r="G19" s="9" t="s">
        <v>50</v>
      </c>
      <c r="H19" s="15" t="s">
        <v>43</v>
      </c>
      <c r="I19" s="8">
        <v>3</v>
      </c>
    </row>
    <row r="20" spans="1:9" x14ac:dyDescent="0.25">
      <c r="A20" s="8">
        <v>18</v>
      </c>
      <c r="B20" s="9" t="s">
        <v>48</v>
      </c>
      <c r="C20" s="15" t="s">
        <v>43</v>
      </c>
      <c r="D20" s="8">
        <v>3</v>
      </c>
      <c r="E20" s="110"/>
      <c r="F20" s="8">
        <v>18</v>
      </c>
      <c r="G20" s="9" t="s">
        <v>22</v>
      </c>
      <c r="H20" s="15" t="s">
        <v>63</v>
      </c>
      <c r="I20" s="8">
        <v>3</v>
      </c>
    </row>
    <row r="21" spans="1:9" x14ac:dyDescent="0.25">
      <c r="A21" s="8">
        <v>19</v>
      </c>
      <c r="B21" s="9" t="s">
        <v>44</v>
      </c>
      <c r="C21" s="15" t="s">
        <v>43</v>
      </c>
      <c r="D21" s="8">
        <v>3</v>
      </c>
      <c r="E21" s="110"/>
      <c r="F21" s="8">
        <v>19</v>
      </c>
      <c r="G21" s="9" t="s">
        <v>6</v>
      </c>
      <c r="H21" s="15" t="s">
        <v>5</v>
      </c>
      <c r="I21" s="8">
        <v>2</v>
      </c>
    </row>
    <row r="22" spans="1:9" x14ac:dyDescent="0.25">
      <c r="A22" s="8">
        <v>20</v>
      </c>
      <c r="B22" s="9" t="s">
        <v>22</v>
      </c>
      <c r="C22" s="15" t="s">
        <v>63</v>
      </c>
      <c r="D22" s="8">
        <v>3</v>
      </c>
      <c r="E22" s="110"/>
      <c r="F22" s="8">
        <v>20</v>
      </c>
      <c r="G22" s="9" t="s">
        <v>12</v>
      </c>
      <c r="H22" s="15" t="s">
        <v>5</v>
      </c>
      <c r="I22" s="8">
        <v>2</v>
      </c>
    </row>
    <row r="23" spans="1:9" x14ac:dyDescent="0.25">
      <c r="A23" s="8">
        <v>21</v>
      </c>
      <c r="B23" s="9" t="s">
        <v>64</v>
      </c>
      <c r="C23" s="15" t="s">
        <v>63</v>
      </c>
      <c r="D23" s="8">
        <v>3</v>
      </c>
      <c r="E23" s="110"/>
      <c r="F23" s="8">
        <v>21</v>
      </c>
      <c r="G23" s="9" t="s">
        <v>14</v>
      </c>
      <c r="H23" s="15" t="s">
        <v>5</v>
      </c>
      <c r="I23" s="8">
        <v>2</v>
      </c>
    </row>
    <row r="24" spans="1:9" x14ac:dyDescent="0.25">
      <c r="A24" s="8">
        <v>22</v>
      </c>
      <c r="B24" s="9" t="s">
        <v>11</v>
      </c>
      <c r="C24" s="15" t="s">
        <v>5</v>
      </c>
      <c r="D24" s="8">
        <v>2</v>
      </c>
      <c r="E24" s="110"/>
      <c r="F24" s="8">
        <v>22</v>
      </c>
      <c r="G24" s="9" t="s">
        <v>17</v>
      </c>
      <c r="H24" s="15" t="s">
        <v>18</v>
      </c>
      <c r="I24" s="8">
        <v>2</v>
      </c>
    </row>
    <row r="25" spans="1:9" x14ac:dyDescent="0.25">
      <c r="A25" s="8">
        <v>23</v>
      </c>
      <c r="B25" s="9" t="s">
        <v>8</v>
      </c>
      <c r="C25" s="15" t="s">
        <v>5</v>
      </c>
      <c r="D25" s="8">
        <v>2</v>
      </c>
      <c r="E25" s="110"/>
      <c r="F25" s="8">
        <v>23</v>
      </c>
      <c r="G25" s="9" t="s">
        <v>32</v>
      </c>
      <c r="H25" s="15" t="s">
        <v>21</v>
      </c>
      <c r="I25" s="8">
        <v>2</v>
      </c>
    </row>
    <row r="26" spans="1:9" x14ac:dyDescent="0.25">
      <c r="A26" s="8">
        <v>24</v>
      </c>
      <c r="B26" s="9" t="s">
        <v>25</v>
      </c>
      <c r="C26" s="15" t="s">
        <v>21</v>
      </c>
      <c r="D26" s="8">
        <v>2</v>
      </c>
      <c r="E26" s="110"/>
      <c r="F26" s="8">
        <v>24</v>
      </c>
      <c r="G26" s="9" t="s">
        <v>25</v>
      </c>
      <c r="H26" s="15" t="s">
        <v>21</v>
      </c>
      <c r="I26" s="8">
        <v>2</v>
      </c>
    </row>
    <row r="27" spans="1:9" x14ac:dyDescent="0.25">
      <c r="A27" s="8">
        <v>25</v>
      </c>
      <c r="B27" s="22" t="s">
        <v>108</v>
      </c>
      <c r="C27" s="15" t="s">
        <v>21</v>
      </c>
      <c r="D27" s="8">
        <v>2</v>
      </c>
      <c r="E27" s="110"/>
      <c r="F27" s="8">
        <v>25</v>
      </c>
      <c r="G27" s="9" t="s">
        <v>26</v>
      </c>
      <c r="H27" s="15" t="s">
        <v>21</v>
      </c>
      <c r="I27" s="8">
        <v>2</v>
      </c>
    </row>
    <row r="28" spans="1:9" x14ac:dyDescent="0.25">
      <c r="A28" s="8">
        <v>26</v>
      </c>
      <c r="B28" s="9" t="s">
        <v>41</v>
      </c>
      <c r="C28" s="71" t="s">
        <v>40</v>
      </c>
      <c r="D28" s="8">
        <v>2</v>
      </c>
      <c r="E28" s="110"/>
      <c r="F28" s="8">
        <v>26</v>
      </c>
      <c r="G28" s="77" t="s">
        <v>120</v>
      </c>
      <c r="H28" s="71" t="s">
        <v>40</v>
      </c>
      <c r="I28" s="8">
        <v>2</v>
      </c>
    </row>
    <row r="29" spans="1:9" x14ac:dyDescent="0.25">
      <c r="A29" s="8">
        <v>27</v>
      </c>
      <c r="B29" s="20" t="s">
        <v>112</v>
      </c>
      <c r="C29" s="15" t="s">
        <v>43</v>
      </c>
      <c r="D29" s="8">
        <v>2</v>
      </c>
      <c r="E29" s="110"/>
      <c r="F29" s="8">
        <v>27</v>
      </c>
      <c r="G29" s="19" t="s">
        <v>110</v>
      </c>
      <c r="H29" s="15" t="s">
        <v>43</v>
      </c>
      <c r="I29" s="8">
        <v>2</v>
      </c>
    </row>
    <row r="30" spans="1:9" x14ac:dyDescent="0.25">
      <c r="A30" s="8">
        <v>28</v>
      </c>
      <c r="B30" s="9" t="s">
        <v>51</v>
      </c>
      <c r="C30" s="15" t="s">
        <v>43</v>
      </c>
      <c r="D30" s="8">
        <v>2</v>
      </c>
      <c r="E30" s="110"/>
      <c r="F30" s="8">
        <v>28</v>
      </c>
      <c r="G30" s="9" t="s">
        <v>49</v>
      </c>
      <c r="H30" s="15" t="s">
        <v>43</v>
      </c>
      <c r="I30" s="8">
        <v>2</v>
      </c>
    </row>
    <row r="31" spans="1:9" x14ac:dyDescent="0.25">
      <c r="A31" s="8">
        <v>29</v>
      </c>
      <c r="B31" s="9" t="s">
        <v>53</v>
      </c>
      <c r="C31" s="15" t="s">
        <v>54</v>
      </c>
      <c r="D31" s="8">
        <v>2</v>
      </c>
      <c r="E31" s="110"/>
      <c r="F31" s="8">
        <v>29</v>
      </c>
      <c r="G31" s="20" t="s">
        <v>112</v>
      </c>
      <c r="H31" s="15" t="s">
        <v>43</v>
      </c>
      <c r="I31" s="8">
        <v>2</v>
      </c>
    </row>
    <row r="32" spans="1:9" x14ac:dyDescent="0.25">
      <c r="A32" s="8">
        <v>30</v>
      </c>
      <c r="B32" s="9" t="s">
        <v>65</v>
      </c>
      <c r="C32" s="15" t="s">
        <v>63</v>
      </c>
      <c r="D32" s="8">
        <v>2</v>
      </c>
      <c r="E32" s="110"/>
      <c r="F32" s="8">
        <v>30</v>
      </c>
      <c r="G32" s="9" t="s">
        <v>48</v>
      </c>
      <c r="H32" s="15" t="s">
        <v>43</v>
      </c>
      <c r="I32" s="8">
        <v>2</v>
      </c>
    </row>
    <row r="33" spans="1:9" x14ac:dyDescent="0.25">
      <c r="A33" s="8">
        <v>31</v>
      </c>
      <c r="B33" s="9" t="s">
        <v>16</v>
      </c>
      <c r="C33" s="15" t="s">
        <v>5</v>
      </c>
      <c r="D33" s="8">
        <v>1</v>
      </c>
      <c r="E33" s="110"/>
      <c r="F33" s="8">
        <v>31</v>
      </c>
      <c r="G33" s="9" t="s">
        <v>44</v>
      </c>
      <c r="H33" s="15" t="s">
        <v>43</v>
      </c>
      <c r="I33" s="8">
        <v>2</v>
      </c>
    </row>
    <row r="34" spans="1:9" x14ac:dyDescent="0.25">
      <c r="A34" s="8">
        <v>32</v>
      </c>
      <c r="B34" s="33" t="s">
        <v>102</v>
      </c>
      <c r="C34" s="15" t="s">
        <v>5</v>
      </c>
      <c r="D34" s="8">
        <v>1</v>
      </c>
      <c r="E34" s="110"/>
      <c r="F34" s="8">
        <v>32</v>
      </c>
      <c r="G34" s="9" t="s">
        <v>59</v>
      </c>
      <c r="H34" s="15" t="s">
        <v>60</v>
      </c>
      <c r="I34" s="8">
        <v>2</v>
      </c>
    </row>
    <row r="35" spans="1:9" x14ac:dyDescent="0.25">
      <c r="A35" s="8">
        <v>33</v>
      </c>
      <c r="B35" s="9" t="s">
        <v>12</v>
      </c>
      <c r="C35" s="15" t="s">
        <v>5</v>
      </c>
      <c r="D35" s="8">
        <v>1</v>
      </c>
      <c r="E35" s="110"/>
      <c r="F35" s="8">
        <v>33</v>
      </c>
      <c r="G35" s="9" t="s">
        <v>4</v>
      </c>
      <c r="H35" s="15" t="s">
        <v>5</v>
      </c>
      <c r="I35" s="8">
        <v>1</v>
      </c>
    </row>
    <row r="36" spans="1:9" x14ac:dyDescent="0.25">
      <c r="A36" s="8">
        <v>34</v>
      </c>
      <c r="B36" s="9" t="s">
        <v>14</v>
      </c>
      <c r="C36" s="15" t="s">
        <v>5</v>
      </c>
      <c r="D36" s="8">
        <v>1</v>
      </c>
      <c r="E36" s="110"/>
      <c r="F36" s="8">
        <v>34</v>
      </c>
      <c r="G36" s="33" t="s">
        <v>102</v>
      </c>
      <c r="H36" s="15" t="s">
        <v>5</v>
      </c>
      <c r="I36" s="8">
        <v>1</v>
      </c>
    </row>
    <row r="37" spans="1:9" x14ac:dyDescent="0.25">
      <c r="A37" s="8">
        <v>35</v>
      </c>
      <c r="B37" s="46" t="s">
        <v>10</v>
      </c>
      <c r="C37" s="15" t="s">
        <v>5</v>
      </c>
      <c r="D37" s="8">
        <v>1</v>
      </c>
      <c r="E37" s="110"/>
      <c r="F37" s="8">
        <v>35</v>
      </c>
      <c r="G37" s="46" t="s">
        <v>10</v>
      </c>
      <c r="H37" s="15" t="s">
        <v>5</v>
      </c>
      <c r="I37" s="8">
        <v>1</v>
      </c>
    </row>
    <row r="38" spans="1:9" x14ac:dyDescent="0.25">
      <c r="A38" s="8">
        <v>36</v>
      </c>
      <c r="B38" s="9" t="s">
        <v>13</v>
      </c>
      <c r="C38" s="15" t="s">
        <v>5</v>
      </c>
      <c r="D38" s="8">
        <v>1</v>
      </c>
      <c r="E38" s="110"/>
      <c r="F38" s="8">
        <v>36</v>
      </c>
      <c r="G38" s="9" t="s">
        <v>9</v>
      </c>
      <c r="H38" s="15" t="s">
        <v>5</v>
      </c>
      <c r="I38" s="8">
        <v>1</v>
      </c>
    </row>
    <row r="39" spans="1:9" x14ac:dyDescent="0.25">
      <c r="A39" s="8">
        <v>37</v>
      </c>
      <c r="B39" s="9" t="s">
        <v>19</v>
      </c>
      <c r="C39" s="15" t="s">
        <v>18</v>
      </c>
      <c r="D39" s="8">
        <v>1</v>
      </c>
      <c r="E39" s="110"/>
      <c r="F39" s="8">
        <v>37</v>
      </c>
      <c r="G39" s="9" t="s">
        <v>29</v>
      </c>
      <c r="H39" s="15" t="s">
        <v>21</v>
      </c>
      <c r="I39" s="8">
        <v>1</v>
      </c>
    </row>
    <row r="40" spans="1:9" x14ac:dyDescent="0.25">
      <c r="A40" s="8">
        <v>38</v>
      </c>
      <c r="B40" s="9" t="s">
        <v>24</v>
      </c>
      <c r="C40" s="15" t="s">
        <v>21</v>
      </c>
      <c r="D40" s="8">
        <v>1</v>
      </c>
      <c r="E40" s="110"/>
      <c r="F40" s="8">
        <v>38</v>
      </c>
      <c r="G40" s="34" t="s">
        <v>104</v>
      </c>
      <c r="H40" s="15" t="s">
        <v>21</v>
      </c>
      <c r="I40" s="8">
        <v>1</v>
      </c>
    </row>
    <row r="41" spans="1:9" x14ac:dyDescent="0.25">
      <c r="A41" s="8">
        <v>39</v>
      </c>
      <c r="B41" s="34" t="s">
        <v>104</v>
      </c>
      <c r="C41" s="15" t="s">
        <v>21</v>
      </c>
      <c r="D41" s="8">
        <v>1</v>
      </c>
      <c r="E41" s="110"/>
      <c r="F41" s="8">
        <v>39</v>
      </c>
      <c r="G41" s="9" t="s">
        <v>20</v>
      </c>
      <c r="H41" s="15" t="s">
        <v>21</v>
      </c>
      <c r="I41" s="8">
        <v>1</v>
      </c>
    </row>
    <row r="42" spans="1:9" x14ac:dyDescent="0.25">
      <c r="A42" s="8">
        <v>40</v>
      </c>
      <c r="B42" s="9" t="s">
        <v>30</v>
      </c>
      <c r="C42" s="15" t="s">
        <v>21</v>
      </c>
      <c r="D42" s="8">
        <v>1</v>
      </c>
      <c r="E42" s="110"/>
      <c r="F42" s="8">
        <v>40</v>
      </c>
      <c r="G42" s="76" t="s">
        <v>106</v>
      </c>
      <c r="H42" s="15" t="s">
        <v>21</v>
      </c>
      <c r="I42" s="8">
        <v>1</v>
      </c>
    </row>
    <row r="43" spans="1:9" x14ac:dyDescent="0.25">
      <c r="A43" s="8">
        <v>41</v>
      </c>
      <c r="B43" s="9" t="s">
        <v>34</v>
      </c>
      <c r="C43" s="15" t="s">
        <v>21</v>
      </c>
      <c r="D43" s="8">
        <v>1</v>
      </c>
      <c r="E43" s="110"/>
      <c r="F43" s="8">
        <v>41</v>
      </c>
      <c r="G43" s="9" t="s">
        <v>27</v>
      </c>
      <c r="H43" s="15" t="s">
        <v>21</v>
      </c>
      <c r="I43" s="8">
        <v>1</v>
      </c>
    </row>
    <row r="44" spans="1:9" x14ac:dyDescent="0.25">
      <c r="A44" s="8">
        <v>42</v>
      </c>
      <c r="B44" s="18" t="s">
        <v>35</v>
      </c>
      <c r="C44" s="15" t="s">
        <v>21</v>
      </c>
      <c r="D44" s="8">
        <v>1</v>
      </c>
      <c r="E44" s="110"/>
      <c r="F44" s="8">
        <v>42</v>
      </c>
      <c r="G44" s="28" t="s">
        <v>28</v>
      </c>
      <c r="H44" s="15" t="s">
        <v>21</v>
      </c>
      <c r="I44" s="8">
        <v>1</v>
      </c>
    </row>
    <row r="45" spans="1:9" x14ac:dyDescent="0.25">
      <c r="A45" s="8">
        <v>43</v>
      </c>
      <c r="B45" s="9" t="s">
        <v>38</v>
      </c>
      <c r="C45" s="15" t="s">
        <v>39</v>
      </c>
      <c r="D45" s="8">
        <v>1</v>
      </c>
      <c r="E45" s="110"/>
      <c r="F45" s="8">
        <v>43</v>
      </c>
      <c r="G45" s="9" t="s">
        <v>38</v>
      </c>
      <c r="H45" s="15" t="s">
        <v>39</v>
      </c>
      <c r="I45" s="8">
        <v>1</v>
      </c>
    </row>
    <row r="46" spans="1:9" x14ac:dyDescent="0.25">
      <c r="A46" s="8">
        <v>44</v>
      </c>
      <c r="B46" s="9" t="s">
        <v>49</v>
      </c>
      <c r="C46" s="15" t="s">
        <v>43</v>
      </c>
      <c r="D46" s="8">
        <v>1</v>
      </c>
      <c r="E46" s="110"/>
      <c r="F46" s="8">
        <v>44</v>
      </c>
      <c r="G46" s="9" t="s">
        <v>41</v>
      </c>
      <c r="H46" s="71" t="s">
        <v>40</v>
      </c>
      <c r="I46" s="8">
        <v>1</v>
      </c>
    </row>
    <row r="47" spans="1:9" x14ac:dyDescent="0.25">
      <c r="A47" s="8">
        <v>45</v>
      </c>
      <c r="B47" s="9" t="s">
        <v>50</v>
      </c>
      <c r="C47" s="15" t="s">
        <v>43</v>
      </c>
      <c r="D47" s="8">
        <v>1</v>
      </c>
      <c r="E47" s="110"/>
      <c r="F47" s="8">
        <v>45</v>
      </c>
      <c r="G47" s="9" t="s">
        <v>46</v>
      </c>
      <c r="H47" s="15" t="s">
        <v>43</v>
      </c>
      <c r="I47" s="8">
        <v>1</v>
      </c>
    </row>
    <row r="48" spans="1:9" x14ac:dyDescent="0.25">
      <c r="A48" s="8">
        <v>46</v>
      </c>
      <c r="B48" s="9" t="s">
        <v>46</v>
      </c>
      <c r="C48" s="15" t="s">
        <v>43</v>
      </c>
      <c r="D48" s="8">
        <v>1</v>
      </c>
      <c r="E48" s="110"/>
      <c r="F48" s="8">
        <v>46</v>
      </c>
      <c r="G48" s="21" t="s">
        <v>114</v>
      </c>
      <c r="H48" s="15" t="s">
        <v>52</v>
      </c>
      <c r="I48" s="8">
        <v>1</v>
      </c>
    </row>
    <row r="49" spans="1:9" x14ac:dyDescent="0.25">
      <c r="A49" s="8">
        <v>47</v>
      </c>
      <c r="B49" s="9" t="s">
        <v>55</v>
      </c>
      <c r="C49" s="15" t="s">
        <v>56</v>
      </c>
      <c r="D49" s="8">
        <v>1</v>
      </c>
      <c r="E49" s="110"/>
      <c r="F49" s="8">
        <v>47</v>
      </c>
      <c r="G49" s="9" t="s">
        <v>53</v>
      </c>
      <c r="H49" s="15" t="s">
        <v>54</v>
      </c>
      <c r="I49" s="8">
        <v>1</v>
      </c>
    </row>
    <row r="50" spans="1:9" x14ac:dyDescent="0.25">
      <c r="A50" s="8">
        <v>48</v>
      </c>
      <c r="B50" s="9" t="s">
        <v>59</v>
      </c>
      <c r="C50" s="15" t="s">
        <v>60</v>
      </c>
      <c r="D50" s="8">
        <v>1</v>
      </c>
      <c r="E50" s="110"/>
      <c r="F50" s="8">
        <v>48</v>
      </c>
      <c r="G50" s="9" t="s">
        <v>55</v>
      </c>
      <c r="H50" s="15" t="s">
        <v>56</v>
      </c>
      <c r="I50" s="8">
        <v>1</v>
      </c>
    </row>
    <row r="51" spans="1:9" x14ac:dyDescent="0.25">
      <c r="A51" s="8">
        <v>49</v>
      </c>
      <c r="B51" s="9" t="s">
        <v>66</v>
      </c>
      <c r="C51" s="15" t="s">
        <v>67</v>
      </c>
      <c r="D51" s="8">
        <v>1</v>
      </c>
      <c r="E51" s="110"/>
      <c r="F51" s="8">
        <v>49</v>
      </c>
      <c r="G51" s="9" t="s">
        <v>23</v>
      </c>
      <c r="H51" s="15" t="s">
        <v>63</v>
      </c>
      <c r="I51" s="8">
        <v>1</v>
      </c>
    </row>
    <row r="52" spans="1:9" x14ac:dyDescent="0.25">
      <c r="A52" s="8">
        <v>50</v>
      </c>
      <c r="B52" s="9" t="s">
        <v>36</v>
      </c>
      <c r="C52" s="15" t="s">
        <v>21</v>
      </c>
      <c r="D52" s="8">
        <v>0</v>
      </c>
      <c r="E52" s="110"/>
      <c r="F52" s="8">
        <v>50</v>
      </c>
      <c r="G52" s="9" t="s">
        <v>64</v>
      </c>
      <c r="H52" s="15" t="s">
        <v>63</v>
      </c>
      <c r="I52" s="8">
        <v>1</v>
      </c>
    </row>
    <row r="53" spans="1:9" x14ac:dyDescent="0.25">
      <c r="A53" s="8">
        <v>51</v>
      </c>
      <c r="B53" s="9" t="s">
        <v>33</v>
      </c>
      <c r="C53" s="15" t="s">
        <v>21</v>
      </c>
      <c r="D53" s="8">
        <v>0</v>
      </c>
      <c r="E53" s="110"/>
      <c r="F53" s="8">
        <v>51</v>
      </c>
      <c r="G53" s="9" t="s">
        <v>66</v>
      </c>
      <c r="H53" s="15" t="s">
        <v>67</v>
      </c>
      <c r="I53" s="8">
        <v>1</v>
      </c>
    </row>
    <row r="54" spans="1:9" x14ac:dyDescent="0.25">
      <c r="A54" s="8">
        <v>52</v>
      </c>
      <c r="B54" s="18" t="s">
        <v>37</v>
      </c>
      <c r="C54" s="15" t="s">
        <v>21</v>
      </c>
      <c r="D54" s="8">
        <v>0</v>
      </c>
      <c r="E54" s="110"/>
      <c r="F54" s="8">
        <v>52</v>
      </c>
      <c r="G54" s="9" t="s">
        <v>8</v>
      </c>
      <c r="H54" s="15" t="s">
        <v>5</v>
      </c>
      <c r="I54" s="8">
        <v>0</v>
      </c>
    </row>
    <row r="55" spans="1:9" x14ac:dyDescent="0.25">
      <c r="A55" s="8">
        <v>53</v>
      </c>
      <c r="B55" s="9" t="s">
        <v>32</v>
      </c>
      <c r="C55" s="15" t="s">
        <v>21</v>
      </c>
      <c r="D55" s="8">
        <v>0</v>
      </c>
      <c r="E55" s="110"/>
      <c r="F55" s="8">
        <v>53</v>
      </c>
      <c r="G55" s="47" t="s">
        <v>122</v>
      </c>
      <c r="H55" s="71" t="s">
        <v>40</v>
      </c>
      <c r="I55" s="8">
        <v>0</v>
      </c>
    </row>
    <row r="56" spans="1:9" x14ac:dyDescent="0.25">
      <c r="A56" s="8">
        <v>54</v>
      </c>
      <c r="B56" s="28" t="s">
        <v>28</v>
      </c>
      <c r="C56" s="15" t="s">
        <v>21</v>
      </c>
      <c r="D56" s="8">
        <v>0</v>
      </c>
      <c r="E56" s="110"/>
      <c r="F56" s="8">
        <v>54</v>
      </c>
      <c r="G56" s="9" t="s">
        <v>42</v>
      </c>
      <c r="H56" s="15" t="s">
        <v>43</v>
      </c>
      <c r="I56" s="8">
        <v>0</v>
      </c>
    </row>
    <row r="57" spans="1:9" x14ac:dyDescent="0.25">
      <c r="A57" s="8">
        <v>55</v>
      </c>
      <c r="B57" s="9" t="s">
        <v>31</v>
      </c>
      <c r="C57" s="15" t="s">
        <v>21</v>
      </c>
      <c r="D57" s="8">
        <v>0</v>
      </c>
      <c r="E57" s="110"/>
      <c r="F57" s="8">
        <v>55</v>
      </c>
      <c r="G57" s="9" t="s">
        <v>47</v>
      </c>
      <c r="H57" s="15" t="s">
        <v>43</v>
      </c>
      <c r="I57" s="8">
        <v>0</v>
      </c>
    </row>
    <row r="58" spans="1:9" x14ac:dyDescent="0.25">
      <c r="A58" s="8">
        <v>56</v>
      </c>
      <c r="B58" s="9" t="s">
        <v>47</v>
      </c>
      <c r="C58" s="15" t="s">
        <v>43</v>
      </c>
      <c r="D58" s="8">
        <v>0</v>
      </c>
      <c r="E58" s="110"/>
      <c r="F58" s="8">
        <v>56</v>
      </c>
      <c r="G58" s="9" t="s">
        <v>45</v>
      </c>
      <c r="H58" s="15" t="s">
        <v>43</v>
      </c>
      <c r="I58" s="8">
        <v>0</v>
      </c>
    </row>
    <row r="59" spans="1:9" x14ac:dyDescent="0.25">
      <c r="A59" s="8">
        <v>57</v>
      </c>
      <c r="B59" s="21" t="s">
        <v>114</v>
      </c>
      <c r="C59" s="15" t="s">
        <v>52</v>
      </c>
      <c r="D59" s="8">
        <v>0</v>
      </c>
      <c r="E59" s="110"/>
      <c r="F59" s="8">
        <v>57</v>
      </c>
      <c r="G59" s="9" t="s">
        <v>61</v>
      </c>
      <c r="H59" s="15" t="s">
        <v>62</v>
      </c>
      <c r="I59" s="8">
        <v>0</v>
      </c>
    </row>
    <row r="62" spans="1:9" ht="62.25" customHeight="1" x14ac:dyDescent="0.25">
      <c r="F62" s="56"/>
      <c r="G62" s="817" t="s">
        <v>97</v>
      </c>
      <c r="H62" s="818"/>
    </row>
    <row r="63" spans="1:9" x14ac:dyDescent="0.25">
      <c r="F63" s="70"/>
      <c r="G63" s="819" t="s">
        <v>96</v>
      </c>
      <c r="H63" s="820"/>
    </row>
    <row r="64" spans="1:9" x14ac:dyDescent="0.25">
      <c r="F64" s="57"/>
      <c r="G64" s="821"/>
      <c r="H64" s="822"/>
    </row>
    <row r="65" spans="6:8" x14ac:dyDescent="0.25">
      <c r="F65" s="78"/>
      <c r="G65" s="821"/>
      <c r="H65" s="822"/>
    </row>
    <row r="66" spans="6:8" x14ac:dyDescent="0.25">
      <c r="F66" s="61"/>
      <c r="G66" s="821"/>
      <c r="H66" s="822"/>
    </row>
    <row r="67" spans="6:8" x14ac:dyDescent="0.25">
      <c r="F67" s="80"/>
      <c r="G67" s="821"/>
      <c r="H67" s="822"/>
    </row>
    <row r="68" spans="6:8" x14ac:dyDescent="0.25">
      <c r="F68" s="62"/>
      <c r="G68" s="821"/>
      <c r="H68" s="822"/>
    </row>
    <row r="69" spans="6:8" x14ac:dyDescent="0.25">
      <c r="F69" s="58"/>
      <c r="G69" s="821"/>
      <c r="H69" s="822"/>
    </row>
    <row r="70" spans="6:8" x14ac:dyDescent="0.25">
      <c r="F70" s="59"/>
      <c r="G70" s="821"/>
      <c r="H70" s="822"/>
    </row>
    <row r="71" spans="6:8" x14ac:dyDescent="0.25">
      <c r="F71" s="60"/>
      <c r="G71" s="823"/>
      <c r="H71" s="824"/>
    </row>
    <row r="72" spans="6:8" x14ac:dyDescent="0.25">
      <c r="F72" s="63"/>
      <c r="G72" s="817" t="s">
        <v>84</v>
      </c>
      <c r="H72" s="818"/>
    </row>
  </sheetData>
  <sortState ref="G3:I59">
    <sortCondition descending="1" ref="I3:I59"/>
  </sortState>
  <mergeCells count="4">
    <mergeCell ref="A1:I1"/>
    <mergeCell ref="G62:H62"/>
    <mergeCell ref="G63:H71"/>
    <mergeCell ref="G72:H7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858"/>
  <sheetViews>
    <sheetView zoomScaleNormal="10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A6" sqref="A6"/>
    </sheetView>
  </sheetViews>
  <sheetFormatPr defaultRowHeight="15" x14ac:dyDescent="0.25"/>
  <cols>
    <col min="1" max="1" width="36.42578125" customWidth="1"/>
    <col min="2" max="2" width="10.140625" style="127" customWidth="1"/>
    <col min="3" max="3" width="10" style="55" customWidth="1"/>
    <col min="4" max="4" width="17.42578125" style="134" customWidth="1"/>
    <col min="5" max="5" width="18.85546875" style="134" customWidth="1"/>
    <col min="6" max="6" width="21.7109375" style="66" customWidth="1"/>
    <col min="7" max="7" width="19.85546875" style="236" customWidth="1"/>
    <col min="8" max="8" width="18.28515625" style="17" customWidth="1"/>
    <col min="9" max="9" width="18.140625" style="146" customWidth="1"/>
    <col min="10" max="10" width="19.28515625" style="147" customWidth="1"/>
    <col min="11" max="11" width="19.42578125" style="150" bestFit="1" customWidth="1"/>
    <col min="12" max="14" width="13.85546875" customWidth="1"/>
    <col min="15" max="15" width="4" style="17" customWidth="1"/>
    <col min="16" max="16" width="38.42578125" customWidth="1"/>
  </cols>
  <sheetData>
    <row r="1" spans="1:16" s="443" customFormat="1" ht="18.75" x14ac:dyDescent="0.25">
      <c r="A1" s="865" t="s">
        <v>266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444"/>
    </row>
    <row r="2" spans="1:16" s="443" customFormat="1" x14ac:dyDescent="0.25">
      <c r="A2" s="453" t="s">
        <v>0</v>
      </c>
      <c r="B2" s="454"/>
      <c r="C2" s="454"/>
      <c r="D2" s="795" t="s">
        <v>143</v>
      </c>
      <c r="E2" s="796"/>
      <c r="F2" s="796"/>
      <c r="G2" s="796"/>
      <c r="H2" s="796"/>
      <c r="I2" s="796"/>
      <c r="J2" s="796"/>
      <c r="K2" s="796"/>
      <c r="L2" s="866" t="s">
        <v>398</v>
      </c>
      <c r="M2" s="867"/>
      <c r="N2" s="867"/>
      <c r="O2" s="444"/>
      <c r="P2" s="453" t="s">
        <v>0</v>
      </c>
    </row>
    <row r="3" spans="1:16" s="443" customFormat="1" ht="15" customHeight="1" x14ac:dyDescent="0.25">
      <c r="A3" s="453" t="s">
        <v>0</v>
      </c>
      <c r="B3" s="454"/>
      <c r="C3" s="454"/>
      <c r="D3" s="798"/>
      <c r="E3" s="799"/>
      <c r="F3" s="799"/>
      <c r="G3" s="799"/>
      <c r="H3" s="799"/>
      <c r="I3" s="799"/>
      <c r="J3" s="799"/>
      <c r="K3" s="799"/>
      <c r="L3" s="868"/>
      <c r="M3" s="868"/>
      <c r="N3" s="868"/>
      <c r="O3" s="444"/>
      <c r="P3" s="863"/>
    </row>
    <row r="4" spans="1:16" s="443" customFormat="1" ht="18" customHeight="1" x14ac:dyDescent="0.3">
      <c r="A4" s="453"/>
      <c r="B4" s="454" t="s">
        <v>0</v>
      </c>
      <c r="C4" s="454"/>
      <c r="D4" s="810"/>
      <c r="E4" s="869"/>
      <c r="F4" s="869"/>
      <c r="G4" s="870"/>
      <c r="H4" s="813" t="s">
        <v>139</v>
      </c>
      <c r="I4" s="814"/>
      <c r="J4" s="871" t="s">
        <v>155</v>
      </c>
      <c r="K4" s="872"/>
      <c r="L4" s="868"/>
      <c r="M4" s="868"/>
      <c r="N4" s="868"/>
      <c r="O4" s="444"/>
      <c r="P4" s="864"/>
    </row>
    <row r="5" spans="1:16" s="443" customFormat="1" ht="18.75" x14ac:dyDescent="0.3">
      <c r="A5" s="453"/>
      <c r="B5" s="454"/>
      <c r="C5" s="454"/>
      <c r="D5" s="388">
        <v>1</v>
      </c>
      <c r="E5" s="388">
        <v>2</v>
      </c>
      <c r="F5" s="388">
        <v>3</v>
      </c>
      <c r="G5" s="388">
        <v>4</v>
      </c>
      <c r="H5" s="389">
        <v>5</v>
      </c>
      <c r="I5" s="389">
        <v>6</v>
      </c>
      <c r="J5" s="390">
        <v>7</v>
      </c>
      <c r="K5" s="391">
        <v>8</v>
      </c>
      <c r="L5" s="868"/>
      <c r="M5" s="868"/>
      <c r="N5" s="868"/>
      <c r="O5" s="444"/>
      <c r="P5" s="453"/>
    </row>
    <row r="6" spans="1:16" s="455" customFormat="1" ht="188.25" customHeight="1" x14ac:dyDescent="0.25">
      <c r="A6" s="664" t="s">
        <v>142</v>
      </c>
      <c r="B6" s="665" t="s">
        <v>3</v>
      </c>
      <c r="C6" s="664" t="s">
        <v>89</v>
      </c>
      <c r="D6" s="663" t="s">
        <v>388</v>
      </c>
      <c r="E6" s="663" t="s">
        <v>389</v>
      </c>
      <c r="F6" s="661" t="s">
        <v>390</v>
      </c>
      <c r="G6" s="662" t="s">
        <v>391</v>
      </c>
      <c r="H6" s="663" t="s">
        <v>392</v>
      </c>
      <c r="I6" s="680" t="s">
        <v>393</v>
      </c>
      <c r="J6" s="681" t="s">
        <v>394</v>
      </c>
      <c r="K6" s="663" t="s">
        <v>395</v>
      </c>
      <c r="L6" s="456" t="s">
        <v>78</v>
      </c>
      <c r="M6" s="456" t="s">
        <v>79</v>
      </c>
      <c r="N6" s="456" t="s">
        <v>156</v>
      </c>
      <c r="O6" s="257"/>
      <c r="P6" s="664" t="s">
        <v>142</v>
      </c>
    </row>
    <row r="7" spans="1:16" s="17" customFormat="1" x14ac:dyDescent="0.25">
      <c r="A7" s="140" t="s">
        <v>153</v>
      </c>
      <c r="B7" s="259" t="s">
        <v>5</v>
      </c>
      <c r="C7" s="72">
        <v>333</v>
      </c>
      <c r="D7" s="242">
        <v>36</v>
      </c>
      <c r="E7" s="243">
        <v>0.25</v>
      </c>
      <c r="F7" s="23">
        <v>0.47099999999999997</v>
      </c>
      <c r="G7" s="23">
        <v>0.66700000000000004</v>
      </c>
      <c r="H7" s="283">
        <v>3</v>
      </c>
      <c r="I7" s="244">
        <v>0.16666666666666666</v>
      </c>
      <c r="J7" s="244">
        <v>0.66666666666666663</v>
      </c>
      <c r="K7" s="242">
        <v>6</v>
      </c>
      <c r="L7" s="131">
        <v>3</v>
      </c>
      <c r="M7" s="131">
        <v>1</v>
      </c>
      <c r="N7" s="131">
        <v>2</v>
      </c>
      <c r="O7" s="15"/>
      <c r="P7" s="140" t="s">
        <v>153</v>
      </c>
    </row>
    <row r="8" spans="1:16" s="17" customFormat="1" x14ac:dyDescent="0.25">
      <c r="A8" s="140" t="s">
        <v>154</v>
      </c>
      <c r="B8" s="259" t="s">
        <v>172</v>
      </c>
      <c r="C8" s="72">
        <v>332</v>
      </c>
      <c r="D8" s="242">
        <v>59</v>
      </c>
      <c r="E8" s="243">
        <v>5.0847457627118647E-2</v>
      </c>
      <c r="F8" s="23">
        <v>0.41099999999999998</v>
      </c>
      <c r="G8" s="23">
        <v>0.68100000000000005</v>
      </c>
      <c r="H8" s="283">
        <v>4.3</v>
      </c>
      <c r="I8" s="244">
        <v>0.33333333333333331</v>
      </c>
      <c r="J8" s="244">
        <v>0.6333333333333333</v>
      </c>
      <c r="K8" s="242">
        <v>9</v>
      </c>
      <c r="L8" s="131">
        <v>1</v>
      </c>
      <c r="M8" s="131">
        <v>1</v>
      </c>
      <c r="N8" s="131">
        <v>0</v>
      </c>
      <c r="O8" s="15"/>
      <c r="P8" s="140" t="s">
        <v>154</v>
      </c>
    </row>
    <row r="9" spans="1:16" s="17" customFormat="1" x14ac:dyDescent="0.25">
      <c r="A9" s="140" t="s">
        <v>15</v>
      </c>
      <c r="B9" s="259" t="s">
        <v>5</v>
      </c>
      <c r="C9" s="72">
        <v>334</v>
      </c>
      <c r="D9" s="242">
        <v>23</v>
      </c>
      <c r="E9" s="243">
        <v>4.3478260869565216E-2</v>
      </c>
      <c r="F9" s="23">
        <v>0.39700000000000002</v>
      </c>
      <c r="G9" s="23">
        <v>0.68</v>
      </c>
      <c r="H9" s="283">
        <v>3.9</v>
      </c>
      <c r="I9" s="244">
        <v>0.125</v>
      </c>
      <c r="J9" s="244">
        <v>0.8125</v>
      </c>
      <c r="K9" s="242">
        <v>3</v>
      </c>
      <c r="L9" s="131">
        <v>3</v>
      </c>
      <c r="M9" s="131">
        <v>2</v>
      </c>
      <c r="N9" s="131">
        <v>1</v>
      </c>
      <c r="O9" s="15"/>
      <c r="P9" s="140" t="s">
        <v>15</v>
      </c>
    </row>
    <row r="10" spans="1:16" ht="13.5" customHeight="1" x14ac:dyDescent="0.25">
      <c r="A10" s="9" t="s">
        <v>69</v>
      </c>
      <c r="B10" s="15" t="s">
        <v>5</v>
      </c>
      <c r="C10" s="72">
        <v>474</v>
      </c>
      <c r="D10" s="11">
        <v>12</v>
      </c>
      <c r="E10" s="243">
        <v>0.16666666666666666</v>
      </c>
      <c r="F10" s="507">
        <v>0.5</v>
      </c>
      <c r="G10" s="507">
        <v>0.9</v>
      </c>
      <c r="H10" s="285">
        <v>3.6</v>
      </c>
      <c r="I10" s="64">
        <v>0</v>
      </c>
      <c r="J10" s="395">
        <v>1</v>
      </c>
      <c r="K10" s="508">
        <v>4</v>
      </c>
      <c r="L10" s="131">
        <v>4</v>
      </c>
      <c r="M10" s="131">
        <v>3</v>
      </c>
      <c r="N10" s="131">
        <v>1</v>
      </c>
      <c r="O10" s="316"/>
      <c r="P10" s="9" t="s">
        <v>69</v>
      </c>
    </row>
    <row r="11" spans="1:16" s="17" customFormat="1" x14ac:dyDescent="0.25">
      <c r="A11" s="140" t="s">
        <v>4</v>
      </c>
      <c r="B11" s="259" t="s">
        <v>5</v>
      </c>
      <c r="C11" s="72">
        <v>335</v>
      </c>
      <c r="D11" s="242">
        <v>20</v>
      </c>
      <c r="E11" s="243">
        <v>0</v>
      </c>
      <c r="F11" s="23">
        <v>0.24299999999999999</v>
      </c>
      <c r="G11" s="23">
        <v>0.70599999999999996</v>
      </c>
      <c r="H11" s="283">
        <v>4</v>
      </c>
      <c r="I11" s="244">
        <v>0.45454545454545453</v>
      </c>
      <c r="J11" s="244">
        <v>0.45454545454545453</v>
      </c>
      <c r="K11" s="242">
        <v>3</v>
      </c>
      <c r="L11" s="131">
        <v>1</v>
      </c>
      <c r="M11" s="131">
        <v>5</v>
      </c>
      <c r="N11" s="131">
        <v>-4</v>
      </c>
      <c r="O11" s="15"/>
      <c r="P11" s="140" t="s">
        <v>4</v>
      </c>
    </row>
    <row r="12" spans="1:16" s="17" customFormat="1" x14ac:dyDescent="0.25">
      <c r="A12" s="140" t="s">
        <v>16</v>
      </c>
      <c r="B12" s="259" t="s">
        <v>5</v>
      </c>
      <c r="C12" s="72">
        <v>62</v>
      </c>
      <c r="D12" s="242">
        <v>73</v>
      </c>
      <c r="E12" s="243">
        <v>6.8493150684931503E-2</v>
      </c>
      <c r="F12" s="23">
        <v>0.51300000000000001</v>
      </c>
      <c r="G12" s="23">
        <v>0.879</v>
      </c>
      <c r="H12" s="283">
        <v>4</v>
      </c>
      <c r="I12" s="244">
        <v>0.20408163265306123</v>
      </c>
      <c r="J12" s="244">
        <v>0.77551020408163263</v>
      </c>
      <c r="K12" s="242">
        <v>11</v>
      </c>
      <c r="L12" s="131">
        <v>5</v>
      </c>
      <c r="M12" s="131">
        <v>1</v>
      </c>
      <c r="N12" s="131">
        <v>4</v>
      </c>
      <c r="O12" s="15"/>
      <c r="P12" s="140" t="s">
        <v>16</v>
      </c>
    </row>
    <row r="13" spans="1:16" s="17" customFormat="1" x14ac:dyDescent="0.25">
      <c r="A13" s="140" t="s">
        <v>173</v>
      </c>
      <c r="B13" s="261" t="s">
        <v>5</v>
      </c>
      <c r="C13" s="72">
        <v>66</v>
      </c>
      <c r="D13" s="242">
        <v>31</v>
      </c>
      <c r="E13" s="243">
        <v>3.2258064516129031E-2</v>
      </c>
      <c r="F13" s="23">
        <v>0.222</v>
      </c>
      <c r="G13" s="23">
        <v>1</v>
      </c>
      <c r="H13" s="283">
        <v>5.3</v>
      </c>
      <c r="I13" s="244">
        <v>0.4</v>
      </c>
      <c r="J13" s="244">
        <v>0.6</v>
      </c>
      <c r="K13" s="242">
        <v>4</v>
      </c>
      <c r="L13" s="131">
        <v>1</v>
      </c>
      <c r="M13" s="131">
        <v>2</v>
      </c>
      <c r="N13" s="131">
        <v>-1</v>
      </c>
      <c r="O13" s="15"/>
      <c r="P13" s="140" t="s">
        <v>173</v>
      </c>
    </row>
    <row r="14" spans="1:16" s="125" customFormat="1" x14ac:dyDescent="0.2">
      <c r="A14" s="143" t="s">
        <v>174</v>
      </c>
      <c r="B14" s="261" t="s">
        <v>5</v>
      </c>
      <c r="C14" s="123">
        <v>70</v>
      </c>
      <c r="D14" s="242">
        <v>30</v>
      </c>
      <c r="E14" s="243">
        <v>6.6666666666666666E-2</v>
      </c>
      <c r="F14" s="23">
        <v>0.374</v>
      </c>
      <c r="G14" s="23">
        <v>0.871</v>
      </c>
      <c r="H14" s="283">
        <v>4.5999999999999996</v>
      </c>
      <c r="I14" s="244">
        <v>0.1875</v>
      </c>
      <c r="J14" s="244">
        <v>0.8125</v>
      </c>
      <c r="K14" s="242">
        <v>6</v>
      </c>
      <c r="L14" s="131">
        <v>3</v>
      </c>
      <c r="M14" s="131">
        <v>0</v>
      </c>
      <c r="N14" s="131">
        <v>3</v>
      </c>
      <c r="O14" s="71"/>
      <c r="P14" s="143" t="s">
        <v>174</v>
      </c>
    </row>
    <row r="15" spans="1:16" s="17" customFormat="1" x14ac:dyDescent="0.25">
      <c r="A15" s="140" t="s">
        <v>12</v>
      </c>
      <c r="B15" s="259" t="s">
        <v>5</v>
      </c>
      <c r="C15" s="72">
        <v>67</v>
      </c>
      <c r="D15" s="242">
        <v>31</v>
      </c>
      <c r="E15" s="243">
        <v>0.12903225806451613</v>
      </c>
      <c r="F15" s="23">
        <v>0.51400000000000001</v>
      </c>
      <c r="G15" s="23">
        <v>0.39500000000000002</v>
      </c>
      <c r="H15" s="283">
        <v>4.3</v>
      </c>
      <c r="I15" s="244">
        <v>0.42307692307692307</v>
      </c>
      <c r="J15" s="244">
        <v>0.53846153846153844</v>
      </c>
      <c r="K15" s="242">
        <v>10</v>
      </c>
      <c r="L15" s="131">
        <v>1</v>
      </c>
      <c r="M15" s="131">
        <v>3</v>
      </c>
      <c r="N15" s="131">
        <v>-2</v>
      </c>
      <c r="O15" s="15"/>
      <c r="P15" s="140" t="s">
        <v>12</v>
      </c>
    </row>
    <row r="16" spans="1:16" s="17" customFormat="1" x14ac:dyDescent="0.25">
      <c r="A16" s="140" t="s">
        <v>14</v>
      </c>
      <c r="B16" s="259" t="s">
        <v>5</v>
      </c>
      <c r="C16" s="72">
        <v>68</v>
      </c>
      <c r="D16" s="242">
        <v>20</v>
      </c>
      <c r="E16" s="243">
        <v>0.1</v>
      </c>
      <c r="F16" s="23">
        <v>0.14799999999999999</v>
      </c>
      <c r="G16" s="23">
        <v>0.754</v>
      </c>
      <c r="H16" s="283">
        <v>4.3</v>
      </c>
      <c r="I16" s="244">
        <v>0.41666666666666669</v>
      </c>
      <c r="J16" s="244">
        <v>0.58333333333333337</v>
      </c>
      <c r="K16" s="242">
        <v>6</v>
      </c>
      <c r="L16" s="131">
        <v>3</v>
      </c>
      <c r="M16" s="131">
        <v>2</v>
      </c>
      <c r="N16" s="131">
        <v>1</v>
      </c>
      <c r="O16" s="15"/>
      <c r="P16" s="140" t="s">
        <v>14</v>
      </c>
    </row>
    <row r="17" spans="1:68" s="17" customFormat="1" x14ac:dyDescent="0.25">
      <c r="A17" s="140" t="s">
        <v>10</v>
      </c>
      <c r="B17" s="259" t="s">
        <v>5</v>
      </c>
      <c r="C17" s="72" t="s">
        <v>162</v>
      </c>
      <c r="D17" s="242">
        <v>61</v>
      </c>
      <c r="E17" s="243">
        <v>6.5573770491803282E-2</v>
      </c>
      <c r="F17" s="23">
        <v>0.36399999999999999</v>
      </c>
      <c r="G17" s="23">
        <v>0.81699999999999995</v>
      </c>
      <c r="H17" s="283">
        <v>4.3</v>
      </c>
      <c r="I17" s="244">
        <v>0.27500000000000002</v>
      </c>
      <c r="J17" s="244">
        <v>0.67500000000000004</v>
      </c>
      <c r="K17" s="242">
        <v>5</v>
      </c>
      <c r="L17" s="131">
        <v>2</v>
      </c>
      <c r="M17" s="131">
        <v>0</v>
      </c>
      <c r="N17" s="131">
        <v>2</v>
      </c>
      <c r="O17" s="15"/>
      <c r="P17" s="140" t="s">
        <v>10</v>
      </c>
    </row>
    <row r="18" spans="1:68" s="17" customFormat="1" x14ac:dyDescent="0.25">
      <c r="A18" s="140" t="s">
        <v>9</v>
      </c>
      <c r="B18" s="259" t="s">
        <v>5</v>
      </c>
      <c r="C18" s="72">
        <v>99</v>
      </c>
      <c r="D18" s="242">
        <v>44</v>
      </c>
      <c r="E18" s="243">
        <v>0.13636363636363635</v>
      </c>
      <c r="F18" s="23">
        <v>0.22900000000000001</v>
      </c>
      <c r="G18" s="23">
        <v>0.71399999999999997</v>
      </c>
      <c r="H18" s="283">
        <v>4.4000000000000004</v>
      </c>
      <c r="I18" s="244">
        <v>0.31818181818181818</v>
      </c>
      <c r="J18" s="244">
        <v>0.68181818181818177</v>
      </c>
      <c r="K18" s="242">
        <v>4</v>
      </c>
      <c r="L18" s="131">
        <v>0</v>
      </c>
      <c r="M18" s="131">
        <v>1</v>
      </c>
      <c r="N18" s="131">
        <v>-1</v>
      </c>
      <c r="O18" s="15"/>
      <c r="P18" s="140" t="s">
        <v>9</v>
      </c>
    </row>
    <row r="19" spans="1:68" s="17" customFormat="1" x14ac:dyDescent="0.25">
      <c r="A19" s="140" t="s">
        <v>11</v>
      </c>
      <c r="B19" s="259" t="s">
        <v>5</v>
      </c>
      <c r="C19" s="72">
        <v>113</v>
      </c>
      <c r="D19" s="242">
        <v>29</v>
      </c>
      <c r="E19" s="243">
        <v>0.10344827586206896</v>
      </c>
      <c r="F19" s="23">
        <v>0.20899999999999999</v>
      </c>
      <c r="G19" s="23">
        <v>0.92900000000000005</v>
      </c>
      <c r="H19" s="283">
        <v>4</v>
      </c>
      <c r="I19" s="244">
        <v>7.1428571428571425E-2</v>
      </c>
      <c r="J19" s="244">
        <v>0.8571428571428571</v>
      </c>
      <c r="K19" s="242">
        <v>3</v>
      </c>
      <c r="L19" s="131">
        <v>4</v>
      </c>
      <c r="M19" s="131">
        <v>1</v>
      </c>
      <c r="N19" s="131">
        <v>3</v>
      </c>
      <c r="O19" s="15"/>
      <c r="P19" s="140" t="s">
        <v>11</v>
      </c>
    </row>
    <row r="20" spans="1:68" s="17" customFormat="1" x14ac:dyDescent="0.25">
      <c r="A20" s="140" t="s">
        <v>8</v>
      </c>
      <c r="B20" s="259" t="s">
        <v>5</v>
      </c>
      <c r="C20" s="72">
        <v>129</v>
      </c>
      <c r="D20" s="242">
        <v>52</v>
      </c>
      <c r="E20" s="243">
        <v>5.7692307692307696E-2</v>
      </c>
      <c r="F20" s="23">
        <v>0.377</v>
      </c>
      <c r="G20" s="23">
        <v>0.81799999999999995</v>
      </c>
      <c r="H20" s="283">
        <v>4.3</v>
      </c>
      <c r="I20" s="244">
        <v>0.3611111111111111</v>
      </c>
      <c r="J20" s="244">
        <v>0.61111111111111116</v>
      </c>
      <c r="K20" s="242">
        <v>15</v>
      </c>
      <c r="L20" s="131">
        <v>3</v>
      </c>
      <c r="M20" s="131">
        <v>0</v>
      </c>
      <c r="N20" s="131">
        <v>3</v>
      </c>
      <c r="O20" s="15"/>
      <c r="P20" s="140" t="s">
        <v>8</v>
      </c>
    </row>
    <row r="21" spans="1:68" s="17" customFormat="1" x14ac:dyDescent="0.25">
      <c r="A21" s="140" t="s">
        <v>13</v>
      </c>
      <c r="B21" s="259" t="s">
        <v>5</v>
      </c>
      <c r="C21" s="72">
        <v>138</v>
      </c>
      <c r="D21" s="242">
        <v>31</v>
      </c>
      <c r="E21" s="243">
        <v>0.16129032258064516</v>
      </c>
      <c r="F21" s="23">
        <v>0.24299999999999999</v>
      </c>
      <c r="G21" s="23">
        <v>0.88</v>
      </c>
      <c r="H21" s="283">
        <v>6</v>
      </c>
      <c r="I21" s="244">
        <v>0.1875</v>
      </c>
      <c r="J21" s="244">
        <v>0.625</v>
      </c>
      <c r="K21" s="242">
        <v>6</v>
      </c>
      <c r="L21" s="131">
        <v>2</v>
      </c>
      <c r="M21" s="131">
        <v>0</v>
      </c>
      <c r="N21" s="131">
        <v>2</v>
      </c>
      <c r="O21" s="15"/>
      <c r="P21" s="140" t="s">
        <v>13</v>
      </c>
    </row>
    <row r="22" spans="1:68" s="17" customFormat="1" x14ac:dyDescent="0.25">
      <c r="A22" s="140" t="s">
        <v>17</v>
      </c>
      <c r="B22" s="259" t="s">
        <v>18</v>
      </c>
      <c r="C22" s="72">
        <v>348</v>
      </c>
      <c r="D22" s="242">
        <v>59</v>
      </c>
      <c r="E22" s="243">
        <v>5.0847457627118647E-2</v>
      </c>
      <c r="F22" s="23">
        <v>3.5000000000000003E-2</v>
      </c>
      <c r="G22" s="23">
        <v>0.46100000000000002</v>
      </c>
      <c r="H22" s="283">
        <v>5</v>
      </c>
      <c r="I22" s="244">
        <v>0.375</v>
      </c>
      <c r="J22" s="244">
        <v>0.6</v>
      </c>
      <c r="K22" s="242">
        <v>13</v>
      </c>
      <c r="L22" s="131">
        <v>2</v>
      </c>
      <c r="M22" s="131">
        <v>1</v>
      </c>
      <c r="N22" s="131">
        <v>1</v>
      </c>
      <c r="O22" s="15"/>
      <c r="P22" s="140" t="s">
        <v>17</v>
      </c>
    </row>
    <row r="23" spans="1:68" s="17" customFormat="1" x14ac:dyDescent="0.25">
      <c r="A23" s="140" t="s">
        <v>29</v>
      </c>
      <c r="B23" s="259" t="s">
        <v>21</v>
      </c>
      <c r="C23" s="72">
        <v>336</v>
      </c>
      <c r="D23" s="242">
        <v>141</v>
      </c>
      <c r="E23" s="243">
        <v>0.1773049645390071</v>
      </c>
      <c r="F23" s="23">
        <v>0.26600000000000001</v>
      </c>
      <c r="G23" s="23">
        <v>0.54600000000000004</v>
      </c>
      <c r="H23" s="283">
        <v>7</v>
      </c>
      <c r="I23" s="244">
        <v>0.36065573770491804</v>
      </c>
      <c r="J23" s="244">
        <v>0.44262295081967212</v>
      </c>
      <c r="K23" s="242">
        <v>10</v>
      </c>
      <c r="L23" s="131">
        <v>2</v>
      </c>
      <c r="M23" s="131">
        <v>1</v>
      </c>
      <c r="N23" s="131">
        <v>1</v>
      </c>
      <c r="O23" s="15"/>
      <c r="P23" s="140" t="s">
        <v>29</v>
      </c>
    </row>
    <row r="24" spans="1:68" s="17" customFormat="1" x14ac:dyDescent="0.25">
      <c r="A24" s="140" t="s">
        <v>24</v>
      </c>
      <c r="B24" s="259" t="s">
        <v>21</v>
      </c>
      <c r="C24" s="72">
        <v>342</v>
      </c>
      <c r="D24" s="242">
        <v>30</v>
      </c>
      <c r="E24" s="243">
        <v>3.3333333333333333E-2</v>
      </c>
      <c r="F24" s="496">
        <v>0.22500000000000001</v>
      </c>
      <c r="G24" s="496">
        <v>0.42099999999999999</v>
      </c>
      <c r="H24" s="283">
        <v>5.8</v>
      </c>
      <c r="I24" s="244">
        <v>0.19047619047619047</v>
      </c>
      <c r="J24" s="244">
        <v>0.80952380952380953</v>
      </c>
      <c r="K24" s="242">
        <v>7</v>
      </c>
      <c r="L24" s="131">
        <v>2</v>
      </c>
      <c r="M24" s="131">
        <v>2</v>
      </c>
      <c r="N24" s="131">
        <v>0</v>
      </c>
      <c r="O24" s="15"/>
      <c r="P24" s="140" t="s">
        <v>24</v>
      </c>
    </row>
    <row r="25" spans="1:68" s="17" customFormat="1" x14ac:dyDescent="0.25">
      <c r="A25" s="140" t="s">
        <v>175</v>
      </c>
      <c r="B25" s="259" t="s">
        <v>21</v>
      </c>
      <c r="C25" s="72">
        <v>346</v>
      </c>
      <c r="D25" s="242">
        <v>30</v>
      </c>
      <c r="E25" s="243">
        <v>0</v>
      </c>
      <c r="F25" s="23">
        <v>0.31900000000000001</v>
      </c>
      <c r="G25" s="23">
        <v>0.60499999999999998</v>
      </c>
      <c r="H25" s="283">
        <v>6.6</v>
      </c>
      <c r="I25" s="244">
        <v>0.22222222222222221</v>
      </c>
      <c r="J25" s="244">
        <v>0.72222222222222221</v>
      </c>
      <c r="K25" s="242">
        <v>6</v>
      </c>
      <c r="L25" s="131">
        <v>2</v>
      </c>
      <c r="M25" s="131">
        <v>1</v>
      </c>
      <c r="N25" s="131">
        <v>1</v>
      </c>
      <c r="O25" s="15"/>
      <c r="P25" s="140" t="s">
        <v>175</v>
      </c>
    </row>
    <row r="26" spans="1:68" s="17" customFormat="1" x14ac:dyDescent="0.25">
      <c r="A26" s="140" t="s">
        <v>176</v>
      </c>
      <c r="B26" s="259" t="s">
        <v>21</v>
      </c>
      <c r="C26" s="72">
        <v>140</v>
      </c>
      <c r="D26" s="242">
        <v>62</v>
      </c>
      <c r="E26" s="243">
        <v>0.12903225806451613</v>
      </c>
      <c r="F26" s="23">
        <v>0.248</v>
      </c>
      <c r="G26" s="23">
        <v>0.71399999999999997</v>
      </c>
      <c r="H26" s="283">
        <v>6</v>
      </c>
      <c r="I26" s="244">
        <v>0.1111111111111111</v>
      </c>
      <c r="J26" s="244">
        <v>0.7407407407407407</v>
      </c>
      <c r="K26" s="242">
        <v>7</v>
      </c>
      <c r="L26" s="131">
        <v>2</v>
      </c>
      <c r="M26" s="131">
        <v>0</v>
      </c>
      <c r="N26" s="131">
        <v>2</v>
      </c>
      <c r="O26" s="15"/>
      <c r="P26" s="140" t="s">
        <v>176</v>
      </c>
    </row>
    <row r="27" spans="1:68" s="17" customFormat="1" x14ac:dyDescent="0.25">
      <c r="A27" s="140" t="s">
        <v>169</v>
      </c>
      <c r="B27" s="259" t="s">
        <v>21</v>
      </c>
      <c r="C27" s="72">
        <v>350</v>
      </c>
      <c r="D27" s="242">
        <v>265</v>
      </c>
      <c r="E27" s="243">
        <v>6.4150943396226415E-2</v>
      </c>
      <c r="F27" s="23">
        <v>0.14299999999999999</v>
      </c>
      <c r="G27" s="23">
        <v>0.66400000000000003</v>
      </c>
      <c r="H27" s="283">
        <v>5.3</v>
      </c>
      <c r="I27" s="244">
        <v>0.24858757062146894</v>
      </c>
      <c r="J27" s="244">
        <v>0.70056497175141241</v>
      </c>
      <c r="K27" s="242">
        <v>30</v>
      </c>
      <c r="L27" s="131">
        <v>3</v>
      </c>
      <c r="M27" s="131">
        <v>0</v>
      </c>
      <c r="N27" s="131">
        <v>3</v>
      </c>
      <c r="O27" s="15"/>
      <c r="P27" s="140" t="s">
        <v>169</v>
      </c>
    </row>
    <row r="28" spans="1:68" ht="14.25" customHeight="1" x14ac:dyDescent="0.25">
      <c r="A28" s="9" t="s">
        <v>71</v>
      </c>
      <c r="B28" s="259" t="s">
        <v>21</v>
      </c>
      <c r="C28" s="72">
        <v>41</v>
      </c>
      <c r="D28" s="11">
        <v>23</v>
      </c>
      <c r="E28" s="243">
        <v>4.3478260869565216E-2</v>
      </c>
      <c r="F28" s="496">
        <v>0.51800000000000002</v>
      </c>
      <c r="G28" s="496">
        <v>0.75900000000000001</v>
      </c>
      <c r="H28" s="285">
        <v>5.0999999999999996</v>
      </c>
      <c r="I28" s="64">
        <v>0.54545454545454541</v>
      </c>
      <c r="J28" s="64">
        <v>0.27272727272727271</v>
      </c>
      <c r="K28" s="255">
        <v>6</v>
      </c>
      <c r="L28" s="131">
        <v>1</v>
      </c>
      <c r="M28" s="131">
        <v>4</v>
      </c>
      <c r="N28" s="131">
        <v>-3</v>
      </c>
      <c r="O28" s="314"/>
      <c r="P28" s="9" t="s">
        <v>71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</row>
    <row r="29" spans="1:68" s="17" customFormat="1" x14ac:dyDescent="0.25">
      <c r="A29" s="140" t="s">
        <v>177</v>
      </c>
      <c r="B29" s="259" t="s">
        <v>21</v>
      </c>
      <c r="C29" s="72">
        <v>47</v>
      </c>
      <c r="D29" s="242">
        <v>31</v>
      </c>
      <c r="E29" s="243">
        <v>0.22580645161290322</v>
      </c>
      <c r="F29" s="23">
        <v>4.5999999999999999E-2</v>
      </c>
      <c r="G29" s="23">
        <v>0.72</v>
      </c>
      <c r="H29" s="283">
        <v>6</v>
      </c>
      <c r="I29" s="244">
        <v>8.3333333333333329E-2</v>
      </c>
      <c r="J29" s="244">
        <v>0.91666666666666663</v>
      </c>
      <c r="K29" s="242">
        <v>1</v>
      </c>
      <c r="L29" s="131">
        <v>4</v>
      </c>
      <c r="M29" s="131">
        <v>1</v>
      </c>
      <c r="N29" s="131">
        <v>3</v>
      </c>
      <c r="O29" s="15"/>
      <c r="P29" s="140" t="s">
        <v>177</v>
      </c>
    </row>
    <row r="30" spans="1:68" s="17" customFormat="1" x14ac:dyDescent="0.25">
      <c r="A30" s="140" t="s">
        <v>178</v>
      </c>
      <c r="B30" s="259" t="s">
        <v>21</v>
      </c>
      <c r="C30" s="72">
        <v>115</v>
      </c>
      <c r="D30" s="242">
        <v>63</v>
      </c>
      <c r="E30" s="243">
        <v>0.1111111111111111</v>
      </c>
      <c r="F30" s="23">
        <v>0.108</v>
      </c>
      <c r="G30" s="23">
        <v>0.73899999999999999</v>
      </c>
      <c r="H30" s="283">
        <v>5</v>
      </c>
      <c r="I30" s="244">
        <v>0.36</v>
      </c>
      <c r="J30" s="244">
        <v>0.62</v>
      </c>
      <c r="K30" s="242">
        <v>15</v>
      </c>
      <c r="L30" s="131">
        <v>2</v>
      </c>
      <c r="M30" s="131">
        <v>0</v>
      </c>
      <c r="N30" s="131">
        <v>2</v>
      </c>
      <c r="O30" s="15"/>
      <c r="P30" s="140" t="s">
        <v>178</v>
      </c>
    </row>
    <row r="31" spans="1:68" s="17" customFormat="1" x14ac:dyDescent="0.25">
      <c r="A31" s="140" t="s">
        <v>19</v>
      </c>
      <c r="B31" s="259" t="s">
        <v>18</v>
      </c>
      <c r="C31" s="72">
        <v>53</v>
      </c>
      <c r="D31" s="242">
        <v>18</v>
      </c>
      <c r="E31" s="243">
        <v>0.16666666666666666</v>
      </c>
      <c r="F31" s="23">
        <v>8.3000000000000004E-2</v>
      </c>
      <c r="G31" s="23">
        <v>0.56799999999999995</v>
      </c>
      <c r="H31" s="283">
        <v>5</v>
      </c>
      <c r="I31" s="244">
        <v>0.26666666666666666</v>
      </c>
      <c r="J31" s="244">
        <v>0.6</v>
      </c>
      <c r="K31" s="242">
        <v>5</v>
      </c>
      <c r="L31" s="131">
        <v>1</v>
      </c>
      <c r="M31" s="131">
        <v>1</v>
      </c>
      <c r="N31" s="131">
        <v>0</v>
      </c>
      <c r="O31" s="15"/>
      <c r="P31" s="140" t="s">
        <v>19</v>
      </c>
    </row>
    <row r="32" spans="1:68" s="17" customFormat="1" x14ac:dyDescent="0.25">
      <c r="A32" s="140" t="s">
        <v>27</v>
      </c>
      <c r="B32" s="259" t="s">
        <v>21</v>
      </c>
      <c r="C32" s="72">
        <v>60</v>
      </c>
      <c r="D32" s="242">
        <v>97</v>
      </c>
      <c r="E32" s="243">
        <v>0.12371134020618557</v>
      </c>
      <c r="F32" s="23">
        <v>9.9000000000000005E-2</v>
      </c>
      <c r="G32" s="23">
        <v>0.66300000000000003</v>
      </c>
      <c r="H32" s="283">
        <v>6</v>
      </c>
      <c r="I32" s="244">
        <v>0.3783783783783784</v>
      </c>
      <c r="J32" s="244">
        <v>0.55405405405405406</v>
      </c>
      <c r="K32" s="242">
        <v>14</v>
      </c>
      <c r="L32" s="131">
        <v>3</v>
      </c>
      <c r="M32" s="131">
        <v>0</v>
      </c>
      <c r="N32" s="131">
        <v>3</v>
      </c>
      <c r="O32" s="15"/>
      <c r="P32" s="140" t="s">
        <v>27</v>
      </c>
    </row>
    <row r="33" spans="1:68" s="17" customFormat="1" x14ac:dyDescent="0.25">
      <c r="A33" s="140" t="s">
        <v>36</v>
      </c>
      <c r="B33" s="259" t="s">
        <v>21</v>
      </c>
      <c r="C33" s="72">
        <v>73</v>
      </c>
      <c r="D33" s="242">
        <v>35</v>
      </c>
      <c r="E33" s="243">
        <v>8.5714285714285715E-2</v>
      </c>
      <c r="F33" s="23">
        <v>0.53500000000000003</v>
      </c>
      <c r="G33" s="23">
        <v>0.443</v>
      </c>
      <c r="H33" s="283">
        <v>6</v>
      </c>
      <c r="I33" s="244">
        <v>0.3125</v>
      </c>
      <c r="J33" s="244">
        <v>0.625</v>
      </c>
      <c r="K33" s="242">
        <v>4</v>
      </c>
      <c r="L33" s="131">
        <v>0</v>
      </c>
      <c r="M33" s="131">
        <v>2</v>
      </c>
      <c r="N33" s="131">
        <v>-2</v>
      </c>
      <c r="O33" s="15"/>
      <c r="P33" s="140" t="s">
        <v>36</v>
      </c>
    </row>
    <row r="34" spans="1:68" s="17" customFormat="1" x14ac:dyDescent="0.25">
      <c r="A34" s="140" t="s">
        <v>33</v>
      </c>
      <c r="B34" s="259" t="s">
        <v>21</v>
      </c>
      <c r="C34" s="72">
        <v>74</v>
      </c>
      <c r="D34" s="242">
        <v>32</v>
      </c>
      <c r="E34" s="243">
        <v>0</v>
      </c>
      <c r="F34" s="23">
        <v>0.318</v>
      </c>
      <c r="G34" s="23">
        <v>0.46800000000000003</v>
      </c>
      <c r="H34" s="283">
        <v>4.9000000000000004</v>
      </c>
      <c r="I34" s="244">
        <v>0.2857142857142857</v>
      </c>
      <c r="J34" s="244">
        <v>0.6428571428571429</v>
      </c>
      <c r="K34" s="242">
        <v>7</v>
      </c>
      <c r="L34" s="131">
        <v>0</v>
      </c>
      <c r="M34" s="131">
        <v>1</v>
      </c>
      <c r="N34" s="131">
        <v>-1</v>
      </c>
      <c r="O34" s="15"/>
      <c r="P34" s="140" t="s">
        <v>33</v>
      </c>
    </row>
    <row r="35" spans="1:68" s="17" customFormat="1" x14ac:dyDescent="0.25">
      <c r="A35" s="140" t="s">
        <v>37</v>
      </c>
      <c r="B35" s="259" t="s">
        <v>21</v>
      </c>
      <c r="C35" s="72">
        <v>75</v>
      </c>
      <c r="D35" s="242">
        <v>0</v>
      </c>
      <c r="E35" s="243">
        <v>0</v>
      </c>
      <c r="F35" s="23">
        <v>0.6</v>
      </c>
      <c r="G35" s="23">
        <v>0.66700000000000004</v>
      </c>
      <c r="H35" s="283">
        <v>7</v>
      </c>
      <c r="I35" s="244">
        <v>1</v>
      </c>
      <c r="J35" s="244">
        <v>0</v>
      </c>
      <c r="K35" s="242">
        <v>0</v>
      </c>
      <c r="L35" s="131">
        <v>0</v>
      </c>
      <c r="M35" s="131">
        <v>6</v>
      </c>
      <c r="N35" s="131">
        <v>-6</v>
      </c>
      <c r="O35" s="15"/>
      <c r="P35" s="140" t="s">
        <v>37</v>
      </c>
    </row>
    <row r="36" spans="1:68" s="17" customFormat="1" x14ac:dyDescent="0.25">
      <c r="A36" s="140" t="s">
        <v>179</v>
      </c>
      <c r="B36" s="259" t="s">
        <v>21</v>
      </c>
      <c r="C36" s="72">
        <v>123</v>
      </c>
      <c r="D36" s="242">
        <v>5</v>
      </c>
      <c r="E36" s="243">
        <v>0</v>
      </c>
      <c r="F36" s="23">
        <v>0.111</v>
      </c>
      <c r="G36" s="23">
        <v>0</v>
      </c>
      <c r="H36" s="447">
        <v>6</v>
      </c>
      <c r="I36" s="280">
        <v>0.16666666666666666</v>
      </c>
      <c r="J36" s="280">
        <v>0.83333333333333337</v>
      </c>
      <c r="K36" s="242">
        <v>4</v>
      </c>
      <c r="L36" s="131">
        <v>3</v>
      </c>
      <c r="M36" s="131">
        <v>4</v>
      </c>
      <c r="N36" s="131">
        <v>-1</v>
      </c>
      <c r="O36" s="15"/>
      <c r="P36" s="140" t="s">
        <v>179</v>
      </c>
    </row>
    <row r="37" spans="1:68" s="17" customFormat="1" x14ac:dyDescent="0.25">
      <c r="A37" s="140" t="s">
        <v>30</v>
      </c>
      <c r="B37" s="259" t="s">
        <v>21</v>
      </c>
      <c r="C37" s="72">
        <v>81</v>
      </c>
      <c r="D37" s="242">
        <v>61</v>
      </c>
      <c r="E37" s="243">
        <v>8.1967213114754092E-2</v>
      </c>
      <c r="F37" s="23">
        <v>0.17399999999999999</v>
      </c>
      <c r="G37" s="23">
        <v>0.63</v>
      </c>
      <c r="H37" s="447">
        <v>6.5</v>
      </c>
      <c r="I37" s="280">
        <v>0.5625</v>
      </c>
      <c r="J37" s="280">
        <v>0.33333333333333331</v>
      </c>
      <c r="K37" s="242">
        <v>8</v>
      </c>
      <c r="L37" s="131">
        <v>1</v>
      </c>
      <c r="M37" s="131">
        <v>2</v>
      </c>
      <c r="N37" s="131">
        <v>-1</v>
      </c>
      <c r="O37" s="15"/>
      <c r="P37" s="140" t="s">
        <v>30</v>
      </c>
    </row>
    <row r="38" spans="1:68" s="17" customFormat="1" x14ac:dyDescent="0.25">
      <c r="A38" s="140" t="s">
        <v>32</v>
      </c>
      <c r="B38" s="259" t="s">
        <v>21</v>
      </c>
      <c r="C38" s="72">
        <v>90</v>
      </c>
      <c r="D38" s="242">
        <v>41</v>
      </c>
      <c r="E38" s="243">
        <v>2.4390243902439025E-2</v>
      </c>
      <c r="F38" s="23">
        <v>0.32900000000000001</v>
      </c>
      <c r="G38" s="23">
        <v>0.5</v>
      </c>
      <c r="H38" s="447">
        <v>5.6</v>
      </c>
      <c r="I38" s="280">
        <v>0.24</v>
      </c>
      <c r="J38" s="280">
        <v>0.72</v>
      </c>
      <c r="K38" s="242">
        <v>5</v>
      </c>
      <c r="L38" s="131">
        <v>1</v>
      </c>
      <c r="M38" s="131">
        <v>1</v>
      </c>
      <c r="N38" s="131">
        <v>0</v>
      </c>
      <c r="O38" s="15"/>
      <c r="P38" s="140" t="s">
        <v>32</v>
      </c>
    </row>
    <row r="39" spans="1:68" s="17" customFormat="1" x14ac:dyDescent="0.25">
      <c r="A39" s="141" t="s">
        <v>28</v>
      </c>
      <c r="B39" s="259" t="s">
        <v>21</v>
      </c>
      <c r="C39" s="72">
        <v>94</v>
      </c>
      <c r="D39" s="242">
        <v>70</v>
      </c>
      <c r="E39" s="243">
        <v>8.5714285714285715E-2</v>
      </c>
      <c r="F39" s="23">
        <v>0.25700000000000001</v>
      </c>
      <c r="G39" s="23">
        <v>0.35199999999999998</v>
      </c>
      <c r="H39" s="447">
        <v>5.8</v>
      </c>
      <c r="I39" s="280">
        <v>0.52941176470588236</v>
      </c>
      <c r="J39" s="280">
        <v>0.44117647058823528</v>
      </c>
      <c r="K39" s="242">
        <v>14</v>
      </c>
      <c r="L39" s="131">
        <v>2</v>
      </c>
      <c r="M39" s="131">
        <v>3</v>
      </c>
      <c r="N39" s="131">
        <v>-1</v>
      </c>
      <c r="O39" s="15"/>
      <c r="P39" s="141" t="s">
        <v>28</v>
      </c>
    </row>
    <row r="40" spans="1:68" s="17" customFormat="1" x14ac:dyDescent="0.25">
      <c r="A40" s="140" t="s">
        <v>34</v>
      </c>
      <c r="B40" s="259" t="s">
        <v>21</v>
      </c>
      <c r="C40" s="72">
        <v>108</v>
      </c>
      <c r="D40" s="242">
        <v>4</v>
      </c>
      <c r="E40" s="243">
        <v>0</v>
      </c>
      <c r="F40" s="23">
        <v>0.17899999999999999</v>
      </c>
      <c r="G40" s="23">
        <v>0.42099999999999999</v>
      </c>
      <c r="H40" s="447">
        <v>5.5</v>
      </c>
      <c r="I40" s="280">
        <v>0.64</v>
      </c>
      <c r="J40" s="280">
        <v>0.28000000000000003</v>
      </c>
      <c r="K40" s="242">
        <v>2</v>
      </c>
      <c r="L40" s="131">
        <v>1</v>
      </c>
      <c r="M40" s="131">
        <v>6</v>
      </c>
      <c r="N40" s="131">
        <v>-5</v>
      </c>
      <c r="O40" s="15"/>
      <c r="P40" s="140" t="s">
        <v>34</v>
      </c>
    </row>
    <row r="41" spans="1:68" s="17" customFormat="1" x14ac:dyDescent="0.25">
      <c r="A41" s="140" t="s">
        <v>25</v>
      </c>
      <c r="B41" s="259" t="s">
        <v>21</v>
      </c>
      <c r="C41" s="72">
        <v>110</v>
      </c>
      <c r="D41" s="242">
        <v>131</v>
      </c>
      <c r="E41" s="243">
        <v>3.8167938931297711E-2</v>
      </c>
      <c r="F41" s="23">
        <v>0.23499999999999999</v>
      </c>
      <c r="G41" s="23">
        <v>0.35</v>
      </c>
      <c r="H41" s="447">
        <v>6</v>
      </c>
      <c r="I41" s="281">
        <v>0.25609756097560976</v>
      </c>
      <c r="J41" s="281">
        <v>0.70731707317073167</v>
      </c>
      <c r="K41" s="242">
        <v>18</v>
      </c>
      <c r="L41" s="131">
        <v>2</v>
      </c>
      <c r="M41" s="131">
        <v>2</v>
      </c>
      <c r="N41" s="131">
        <v>0</v>
      </c>
      <c r="O41" s="15"/>
      <c r="P41" s="140" t="s">
        <v>25</v>
      </c>
    </row>
    <row r="42" spans="1:68" s="17" customFormat="1" x14ac:dyDescent="0.25">
      <c r="A42" s="140" t="s">
        <v>31</v>
      </c>
      <c r="B42" s="259" t="s">
        <v>21</v>
      </c>
      <c r="C42" s="72" t="s">
        <v>163</v>
      </c>
      <c r="D42" s="242">
        <v>86</v>
      </c>
      <c r="E42" s="243">
        <v>0.15116279069767441</v>
      </c>
      <c r="F42" s="23">
        <v>0.49399999999999999</v>
      </c>
      <c r="G42" s="23">
        <v>0.38300000000000001</v>
      </c>
      <c r="H42" s="447">
        <v>6.3</v>
      </c>
      <c r="I42" s="280">
        <v>0.52</v>
      </c>
      <c r="J42" s="280">
        <v>0.32</v>
      </c>
      <c r="K42" s="242">
        <v>6</v>
      </c>
      <c r="L42" s="131">
        <v>1</v>
      </c>
      <c r="M42" s="131">
        <v>4</v>
      </c>
      <c r="N42" s="131">
        <v>-3</v>
      </c>
      <c r="O42" s="15"/>
      <c r="P42" s="140" t="s">
        <v>31</v>
      </c>
    </row>
    <row r="43" spans="1:68" x14ac:dyDescent="0.25">
      <c r="A43" s="9" t="s">
        <v>70</v>
      </c>
      <c r="B43" s="259" t="s">
        <v>21</v>
      </c>
      <c r="C43" s="72" t="s">
        <v>166</v>
      </c>
      <c r="D43" s="11">
        <v>23</v>
      </c>
      <c r="E43" s="243">
        <v>0</v>
      </c>
      <c r="F43" s="496">
        <v>0.51800000000000002</v>
      </c>
      <c r="G43" s="496">
        <v>0.56799999999999995</v>
      </c>
      <c r="H43" s="488">
        <v>5.3</v>
      </c>
      <c r="I43" s="396">
        <v>0.4</v>
      </c>
      <c r="J43" s="396">
        <v>0.53333333333333333</v>
      </c>
      <c r="K43" s="255">
        <v>3</v>
      </c>
      <c r="L43" s="131">
        <v>0</v>
      </c>
      <c r="M43" s="131">
        <v>4</v>
      </c>
      <c r="N43" s="131">
        <v>-4</v>
      </c>
      <c r="O43" s="314"/>
      <c r="P43" s="9" t="s">
        <v>70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</row>
    <row r="44" spans="1:68" s="17" customFormat="1" x14ac:dyDescent="0.25">
      <c r="A44" s="140" t="s">
        <v>152</v>
      </c>
      <c r="B44" s="259" t="s">
        <v>21</v>
      </c>
      <c r="C44" s="72" t="s">
        <v>158</v>
      </c>
      <c r="D44" s="242">
        <v>30</v>
      </c>
      <c r="E44" s="243">
        <v>0.3</v>
      </c>
      <c r="F44" s="23">
        <v>0.27500000000000002</v>
      </c>
      <c r="G44" s="23">
        <v>0.75</v>
      </c>
      <c r="H44" s="450">
        <v>5</v>
      </c>
      <c r="I44" s="280">
        <v>0.20833333333333334</v>
      </c>
      <c r="J44" s="280">
        <v>0.66666666666666663</v>
      </c>
      <c r="K44" s="242">
        <v>4</v>
      </c>
      <c r="L44" s="131">
        <v>2</v>
      </c>
      <c r="M44" s="131">
        <v>1</v>
      </c>
      <c r="N44" s="131">
        <v>1</v>
      </c>
      <c r="O44" s="15"/>
      <c r="P44" s="140" t="s">
        <v>152</v>
      </c>
    </row>
    <row r="45" spans="1:68" s="17" customFormat="1" x14ac:dyDescent="0.25">
      <c r="A45" s="140" t="s">
        <v>180</v>
      </c>
      <c r="B45" s="259" t="s">
        <v>21</v>
      </c>
      <c r="C45" s="72">
        <v>128</v>
      </c>
      <c r="D45" s="242">
        <v>45</v>
      </c>
      <c r="E45" s="243">
        <v>0.26666666666666666</v>
      </c>
      <c r="F45" s="23">
        <v>0.48699999999999999</v>
      </c>
      <c r="G45" s="23">
        <v>0.41099999999999998</v>
      </c>
      <c r="H45" s="447">
        <v>4.8</v>
      </c>
      <c r="I45" s="280">
        <v>0.2608695652173913</v>
      </c>
      <c r="J45" s="280">
        <v>0.73913043478260865</v>
      </c>
      <c r="K45" s="242">
        <v>3</v>
      </c>
      <c r="L45" s="131">
        <v>2</v>
      </c>
      <c r="M45" s="131">
        <v>3</v>
      </c>
      <c r="N45" s="131">
        <v>-1</v>
      </c>
      <c r="O45" s="15"/>
      <c r="P45" s="140" t="s">
        <v>180</v>
      </c>
    </row>
    <row r="46" spans="1:68" s="17" customFormat="1" x14ac:dyDescent="0.25">
      <c r="A46" s="140" t="s">
        <v>181</v>
      </c>
      <c r="B46" s="259" t="s">
        <v>21</v>
      </c>
      <c r="C46" s="72">
        <v>443</v>
      </c>
      <c r="D46" s="242">
        <v>36</v>
      </c>
      <c r="E46" s="243">
        <v>0.22222222222222221</v>
      </c>
      <c r="F46" s="23">
        <v>0.42499999999999999</v>
      </c>
      <c r="G46" s="23">
        <v>0.41899999999999998</v>
      </c>
      <c r="H46" s="447">
        <v>4</v>
      </c>
      <c r="I46" s="280">
        <v>0.25806451612903225</v>
      </c>
      <c r="J46" s="280">
        <v>0.67741935483870963</v>
      </c>
      <c r="K46" s="242">
        <v>4</v>
      </c>
      <c r="L46" s="131">
        <v>2</v>
      </c>
      <c r="M46" s="131">
        <v>3</v>
      </c>
      <c r="N46" s="131">
        <v>-1</v>
      </c>
      <c r="O46" s="15"/>
      <c r="P46" s="140" t="s">
        <v>181</v>
      </c>
    </row>
    <row r="47" spans="1:68" s="17" customFormat="1" x14ac:dyDescent="0.25">
      <c r="A47" s="140" t="s">
        <v>26</v>
      </c>
      <c r="B47" s="259" t="s">
        <v>21</v>
      </c>
      <c r="C47" s="72">
        <v>132</v>
      </c>
      <c r="D47" s="242">
        <v>47</v>
      </c>
      <c r="E47" s="243">
        <v>2.1276595744680851E-2</v>
      </c>
      <c r="F47" s="23">
        <v>8.3000000000000004E-2</v>
      </c>
      <c r="G47" s="23">
        <v>0.90700000000000003</v>
      </c>
      <c r="H47" s="447">
        <v>5</v>
      </c>
      <c r="I47" s="280">
        <v>0.5</v>
      </c>
      <c r="J47" s="280">
        <v>0.5</v>
      </c>
      <c r="K47" s="242">
        <v>7</v>
      </c>
      <c r="L47" s="131">
        <v>2</v>
      </c>
      <c r="M47" s="131">
        <v>3</v>
      </c>
      <c r="N47" s="131">
        <v>-1</v>
      </c>
      <c r="O47" s="15"/>
      <c r="P47" s="140" t="s">
        <v>26</v>
      </c>
    </row>
    <row r="48" spans="1:68" s="17" customFormat="1" x14ac:dyDescent="0.25">
      <c r="A48" s="441" t="s">
        <v>38</v>
      </c>
      <c r="B48" s="260" t="s">
        <v>39</v>
      </c>
      <c r="C48" s="433">
        <v>141</v>
      </c>
      <c r="D48" s="242">
        <v>101</v>
      </c>
      <c r="E48" s="243">
        <v>7.9207920792079209E-2</v>
      </c>
      <c r="F48" s="23">
        <v>0.40500000000000003</v>
      </c>
      <c r="G48" s="23">
        <v>0.47499999999999998</v>
      </c>
      <c r="H48" s="447">
        <v>4</v>
      </c>
      <c r="I48" s="280">
        <v>0.25</v>
      </c>
      <c r="J48" s="280">
        <v>0.6875</v>
      </c>
      <c r="K48" s="242">
        <v>12</v>
      </c>
      <c r="L48" s="131">
        <v>3</v>
      </c>
      <c r="M48" s="131">
        <v>0</v>
      </c>
      <c r="N48" s="131">
        <v>3</v>
      </c>
      <c r="O48" s="435"/>
      <c r="P48" s="441" t="s">
        <v>38</v>
      </c>
    </row>
    <row r="49" spans="1:29" s="79" customFormat="1" x14ac:dyDescent="0.25">
      <c r="A49" s="140" t="s">
        <v>41</v>
      </c>
      <c r="B49" s="261" t="s">
        <v>40</v>
      </c>
      <c r="C49" s="72">
        <v>437</v>
      </c>
      <c r="D49" s="242">
        <v>79</v>
      </c>
      <c r="E49" s="243">
        <v>0.11392405063291139</v>
      </c>
      <c r="F49" s="23">
        <v>0.41299999999999998</v>
      </c>
      <c r="G49" s="23">
        <v>0.67</v>
      </c>
      <c r="H49" s="666">
        <v>5</v>
      </c>
      <c r="I49" s="280">
        <v>0.42465753424657532</v>
      </c>
      <c r="J49" s="280">
        <v>0.46575342465753422</v>
      </c>
      <c r="K49" s="242">
        <v>10</v>
      </c>
      <c r="L49" s="131">
        <v>1</v>
      </c>
      <c r="M49" s="131">
        <v>2</v>
      </c>
      <c r="N49" s="131">
        <v>-1</v>
      </c>
      <c r="O49" s="12"/>
      <c r="P49" s="140" t="s">
        <v>41</v>
      </c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6"/>
      <c r="AB49" s="436"/>
      <c r="AC49" s="436"/>
    </row>
    <row r="50" spans="1:29" s="79" customFormat="1" x14ac:dyDescent="0.25">
      <c r="A50" s="143" t="s">
        <v>182</v>
      </c>
      <c r="B50" s="261" t="s">
        <v>40</v>
      </c>
      <c r="C50" s="72">
        <v>54</v>
      </c>
      <c r="D50" s="242">
        <v>14</v>
      </c>
      <c r="E50" s="243">
        <v>0.2857142857142857</v>
      </c>
      <c r="F50" s="23">
        <v>0.50900000000000001</v>
      </c>
      <c r="G50" s="23">
        <v>0.76500000000000001</v>
      </c>
      <c r="H50" s="488">
        <v>7.6</v>
      </c>
      <c r="I50" s="244">
        <v>0.3125</v>
      </c>
      <c r="J50" s="244">
        <v>0.65625</v>
      </c>
      <c r="K50" s="242">
        <v>2</v>
      </c>
      <c r="L50" s="131">
        <v>2</v>
      </c>
      <c r="M50" s="131">
        <v>4</v>
      </c>
      <c r="N50" s="131">
        <v>-2</v>
      </c>
      <c r="O50" s="12"/>
      <c r="P50" s="143" t="s">
        <v>182</v>
      </c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</row>
    <row r="51" spans="1:29" s="79" customFormat="1" x14ac:dyDescent="0.25">
      <c r="A51" s="140" t="s">
        <v>183</v>
      </c>
      <c r="B51" s="261" t="s">
        <v>40</v>
      </c>
      <c r="C51" s="72">
        <v>55</v>
      </c>
      <c r="D51" s="242">
        <v>1</v>
      </c>
      <c r="E51" s="243">
        <v>1</v>
      </c>
      <c r="F51" s="23">
        <v>0.13300000000000001</v>
      </c>
      <c r="G51" s="23">
        <v>0.25</v>
      </c>
      <c r="H51" s="488">
        <v>5.3</v>
      </c>
      <c r="I51" s="244">
        <v>0.36363636363636365</v>
      </c>
      <c r="J51" s="244">
        <v>0.54545454545454541</v>
      </c>
      <c r="K51" s="242">
        <v>2</v>
      </c>
      <c r="L51" s="131">
        <v>2</v>
      </c>
      <c r="M51" s="131">
        <v>3</v>
      </c>
      <c r="N51" s="131">
        <v>-1</v>
      </c>
      <c r="O51" s="12"/>
      <c r="P51" s="140" t="s">
        <v>183</v>
      </c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</row>
    <row r="52" spans="1:29" s="79" customFormat="1" x14ac:dyDescent="0.25">
      <c r="A52" s="140" t="s">
        <v>184</v>
      </c>
      <c r="B52" s="261" t="s">
        <v>40</v>
      </c>
      <c r="C52" s="72">
        <v>80</v>
      </c>
      <c r="D52" s="242">
        <v>21</v>
      </c>
      <c r="E52" s="243">
        <v>0.33333333333333331</v>
      </c>
      <c r="F52" s="23">
        <v>0.40799999999999997</v>
      </c>
      <c r="G52" s="23">
        <v>0.78300000000000003</v>
      </c>
      <c r="H52" s="497">
        <v>4.5</v>
      </c>
      <c r="I52" s="244">
        <v>0.375</v>
      </c>
      <c r="J52" s="244">
        <v>0.5</v>
      </c>
      <c r="K52" s="242">
        <v>6</v>
      </c>
      <c r="L52" s="131">
        <v>2</v>
      </c>
      <c r="M52" s="131">
        <v>2</v>
      </c>
      <c r="N52" s="131">
        <v>0</v>
      </c>
      <c r="O52" s="12"/>
      <c r="P52" s="140" t="s">
        <v>184</v>
      </c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</row>
    <row r="53" spans="1:29" s="79" customFormat="1" x14ac:dyDescent="0.25">
      <c r="A53" s="140" t="s">
        <v>185</v>
      </c>
      <c r="B53" s="261" t="s">
        <v>40</v>
      </c>
      <c r="C53" s="72">
        <v>91</v>
      </c>
      <c r="D53" s="242">
        <v>15</v>
      </c>
      <c r="E53" s="243">
        <v>0.33333333333333331</v>
      </c>
      <c r="F53" s="23">
        <v>0.32900000000000001</v>
      </c>
      <c r="G53" s="23">
        <v>0.48</v>
      </c>
      <c r="H53" s="497">
        <v>5.3</v>
      </c>
      <c r="I53" s="244">
        <v>0.60869565217391308</v>
      </c>
      <c r="J53" s="244">
        <v>0.30434782608695654</v>
      </c>
      <c r="K53" s="242">
        <v>3</v>
      </c>
      <c r="L53" s="131">
        <v>1</v>
      </c>
      <c r="M53" s="131">
        <v>4</v>
      </c>
      <c r="N53" s="131">
        <v>-3</v>
      </c>
      <c r="O53" s="12"/>
      <c r="P53" s="140" t="s">
        <v>185</v>
      </c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</row>
    <row r="54" spans="1:29" s="79" customFormat="1" x14ac:dyDescent="0.25">
      <c r="A54" s="140" t="s">
        <v>186</v>
      </c>
      <c r="B54" s="261" t="s">
        <v>40</v>
      </c>
      <c r="C54" s="72">
        <v>98</v>
      </c>
      <c r="D54" s="242">
        <v>17</v>
      </c>
      <c r="E54" s="243">
        <v>5.8823529411764705E-2</v>
      </c>
      <c r="F54" s="23">
        <v>0.38800000000000001</v>
      </c>
      <c r="G54" s="23">
        <v>0.57899999999999996</v>
      </c>
      <c r="H54" s="497">
        <v>4.8</v>
      </c>
      <c r="I54" s="244">
        <v>0.21428571428571427</v>
      </c>
      <c r="J54" s="244">
        <v>0.7142857142857143</v>
      </c>
      <c r="K54" s="242">
        <v>6</v>
      </c>
      <c r="L54" s="131">
        <v>2</v>
      </c>
      <c r="M54" s="131">
        <v>1</v>
      </c>
      <c r="N54" s="131">
        <v>1</v>
      </c>
      <c r="O54" s="12"/>
      <c r="P54" s="140" t="s">
        <v>186</v>
      </c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</row>
    <row r="55" spans="1:29" s="79" customFormat="1" x14ac:dyDescent="0.25">
      <c r="A55" s="140" t="s">
        <v>187</v>
      </c>
      <c r="B55" s="261" t="s">
        <v>40</v>
      </c>
      <c r="C55" s="72">
        <v>122</v>
      </c>
      <c r="D55" s="242">
        <v>13</v>
      </c>
      <c r="E55" s="243">
        <v>0.15384615384615385</v>
      </c>
      <c r="F55" s="23">
        <v>0.65100000000000002</v>
      </c>
      <c r="G55" s="23">
        <v>0.22</v>
      </c>
      <c r="H55" s="497">
        <v>4</v>
      </c>
      <c r="I55" s="244">
        <v>0.3</v>
      </c>
      <c r="J55" s="244">
        <v>0.5</v>
      </c>
      <c r="K55" s="242">
        <v>3</v>
      </c>
      <c r="L55" s="131">
        <v>1</v>
      </c>
      <c r="M55" s="131">
        <v>5</v>
      </c>
      <c r="N55" s="131">
        <v>-4</v>
      </c>
      <c r="O55" s="12"/>
      <c r="P55" s="140" t="s">
        <v>187</v>
      </c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</row>
    <row r="56" spans="1:29" s="122" customFormat="1" x14ac:dyDescent="0.2">
      <c r="A56" s="143" t="s">
        <v>188</v>
      </c>
      <c r="B56" s="261" t="s">
        <v>40</v>
      </c>
      <c r="C56" s="119">
        <v>124</v>
      </c>
      <c r="D56" s="242">
        <v>6</v>
      </c>
      <c r="E56" s="243">
        <v>0.5</v>
      </c>
      <c r="F56" s="23">
        <v>0.36</v>
      </c>
      <c r="G56" s="23">
        <v>0.33300000000000002</v>
      </c>
      <c r="H56" s="497">
        <v>5</v>
      </c>
      <c r="I56" s="244">
        <v>0.33333333333333331</v>
      </c>
      <c r="J56" s="244">
        <v>0.58333333333333337</v>
      </c>
      <c r="K56" s="242">
        <v>0</v>
      </c>
      <c r="L56" s="131">
        <v>1</v>
      </c>
      <c r="M56" s="131">
        <v>3</v>
      </c>
      <c r="N56" s="131">
        <v>-2</v>
      </c>
      <c r="O56" s="120"/>
      <c r="P56" s="143" t="s">
        <v>188</v>
      </c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</row>
    <row r="57" spans="1:29" s="122" customFormat="1" x14ac:dyDescent="0.2">
      <c r="A57" s="140" t="s">
        <v>189</v>
      </c>
      <c r="B57" s="261" t="s">
        <v>40</v>
      </c>
      <c r="C57" s="119">
        <v>125</v>
      </c>
      <c r="D57" s="242">
        <v>31</v>
      </c>
      <c r="E57" s="243">
        <v>0.25806451612903225</v>
      </c>
      <c r="F57" s="23">
        <v>0.221</v>
      </c>
      <c r="G57" s="23">
        <v>0.5</v>
      </c>
      <c r="H57" s="497">
        <v>5.6</v>
      </c>
      <c r="I57" s="244">
        <v>0.19354838709677419</v>
      </c>
      <c r="J57" s="244">
        <v>0.70967741935483875</v>
      </c>
      <c r="K57" s="242">
        <v>10</v>
      </c>
      <c r="L57" s="131">
        <v>2</v>
      </c>
      <c r="M57" s="131">
        <v>0</v>
      </c>
      <c r="N57" s="131">
        <v>2</v>
      </c>
      <c r="O57" s="120"/>
      <c r="P57" s="140" t="s">
        <v>189</v>
      </c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</row>
    <row r="58" spans="1:29" s="79" customFormat="1" x14ac:dyDescent="0.25">
      <c r="A58" s="140" t="s">
        <v>190</v>
      </c>
      <c r="B58" s="261" t="s">
        <v>40</v>
      </c>
      <c r="C58" s="72">
        <v>131</v>
      </c>
      <c r="D58" s="242">
        <v>38</v>
      </c>
      <c r="E58" s="243">
        <v>0.15789473684210525</v>
      </c>
      <c r="F58" s="23">
        <v>0.438</v>
      </c>
      <c r="G58" s="23">
        <v>0.64100000000000001</v>
      </c>
      <c r="H58" s="497">
        <v>4.5999999999999996</v>
      </c>
      <c r="I58" s="244">
        <v>0.26315789473684209</v>
      </c>
      <c r="J58" s="244">
        <v>0.68421052631578949</v>
      </c>
      <c r="K58" s="242">
        <v>6</v>
      </c>
      <c r="L58" s="131">
        <v>0</v>
      </c>
      <c r="M58" s="131">
        <v>1</v>
      </c>
      <c r="N58" s="131">
        <v>-1</v>
      </c>
      <c r="O58" s="12"/>
      <c r="P58" s="140" t="s">
        <v>190</v>
      </c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</row>
    <row r="59" spans="1:29" s="79" customFormat="1" x14ac:dyDescent="0.25">
      <c r="A59" s="140" t="s">
        <v>191</v>
      </c>
      <c r="B59" s="259" t="s">
        <v>43</v>
      </c>
      <c r="C59" s="72">
        <v>331</v>
      </c>
      <c r="D59" s="242">
        <v>40</v>
      </c>
      <c r="E59" s="243">
        <v>0.2</v>
      </c>
      <c r="F59" s="23">
        <v>0.50600000000000001</v>
      </c>
      <c r="G59" s="23">
        <v>0.41299999999999998</v>
      </c>
      <c r="H59" s="283">
        <v>3.6</v>
      </c>
      <c r="I59" s="244">
        <v>0.38235294117647056</v>
      </c>
      <c r="J59" s="244">
        <v>0.58823529411764708</v>
      </c>
      <c r="K59" s="242">
        <v>8</v>
      </c>
      <c r="L59" s="131">
        <v>2</v>
      </c>
      <c r="M59" s="131">
        <v>2</v>
      </c>
      <c r="N59" s="131">
        <v>0</v>
      </c>
      <c r="O59" s="12"/>
      <c r="P59" s="140" t="s">
        <v>191</v>
      </c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</row>
    <row r="60" spans="1:29" s="112" customFormat="1" x14ac:dyDescent="0.25">
      <c r="A60" s="140" t="s">
        <v>192</v>
      </c>
      <c r="B60" s="259" t="s">
        <v>43</v>
      </c>
      <c r="C60" s="72">
        <v>96</v>
      </c>
      <c r="D60" s="242">
        <v>157</v>
      </c>
      <c r="E60" s="243">
        <v>7.6433121019108277E-2</v>
      </c>
      <c r="F60" s="23">
        <v>0.36799999999999999</v>
      </c>
      <c r="G60" s="23">
        <v>0.3</v>
      </c>
      <c r="H60" s="283">
        <v>4</v>
      </c>
      <c r="I60" s="244">
        <v>0.34482758620689657</v>
      </c>
      <c r="J60" s="244">
        <v>0.62068965517241381</v>
      </c>
      <c r="K60" s="242">
        <v>25</v>
      </c>
      <c r="L60" s="131">
        <v>3</v>
      </c>
      <c r="M60" s="131">
        <v>1</v>
      </c>
      <c r="N60" s="131">
        <v>2</v>
      </c>
      <c r="O60" s="15"/>
      <c r="P60" s="140" t="s">
        <v>192</v>
      </c>
    </row>
    <row r="61" spans="1:29" s="17" customFormat="1" x14ac:dyDescent="0.25">
      <c r="A61" s="140" t="s">
        <v>50</v>
      </c>
      <c r="B61" s="259" t="s">
        <v>43</v>
      </c>
      <c r="C61" s="72">
        <v>345</v>
      </c>
      <c r="D61" s="242">
        <v>71</v>
      </c>
      <c r="E61" s="243">
        <v>0.12676056338028169</v>
      </c>
      <c r="F61" s="23">
        <v>0.17100000000000001</v>
      </c>
      <c r="G61" s="23">
        <v>0.56799999999999995</v>
      </c>
      <c r="H61" s="283">
        <v>4.8</v>
      </c>
      <c r="I61" s="244">
        <v>0.30188679245283018</v>
      </c>
      <c r="J61" s="244">
        <v>0.660377358490566</v>
      </c>
      <c r="K61" s="242">
        <v>18</v>
      </c>
      <c r="L61" s="131">
        <v>3</v>
      </c>
      <c r="M61" s="131">
        <v>0</v>
      </c>
      <c r="N61" s="131">
        <v>3</v>
      </c>
      <c r="O61" s="15"/>
      <c r="P61" s="140" t="s">
        <v>50</v>
      </c>
    </row>
    <row r="62" spans="1:29" s="17" customFormat="1" x14ac:dyDescent="0.25">
      <c r="A62" s="140" t="s">
        <v>42</v>
      </c>
      <c r="B62" s="259" t="s">
        <v>43</v>
      </c>
      <c r="C62" s="72">
        <v>349</v>
      </c>
      <c r="D62" s="242">
        <v>69</v>
      </c>
      <c r="E62" s="243">
        <v>8.6956521739130432E-2</v>
      </c>
      <c r="F62" s="23">
        <v>9.6000000000000002E-2</v>
      </c>
      <c r="G62" s="23">
        <v>0.54700000000000004</v>
      </c>
      <c r="H62" s="283">
        <v>4.8</v>
      </c>
      <c r="I62" s="244">
        <v>0.203125</v>
      </c>
      <c r="J62" s="244">
        <v>0.765625</v>
      </c>
      <c r="K62" s="242">
        <v>12</v>
      </c>
      <c r="L62" s="131">
        <v>5</v>
      </c>
      <c r="M62" s="131">
        <v>0</v>
      </c>
      <c r="N62" s="131">
        <v>5</v>
      </c>
      <c r="O62" s="15"/>
      <c r="P62" s="140" t="s">
        <v>42</v>
      </c>
    </row>
    <row r="63" spans="1:29" s="17" customFormat="1" x14ac:dyDescent="0.25">
      <c r="A63" s="164" t="s">
        <v>193</v>
      </c>
      <c r="B63" s="259" t="s">
        <v>43</v>
      </c>
      <c r="C63" s="72">
        <v>351</v>
      </c>
      <c r="D63" s="242">
        <v>69</v>
      </c>
      <c r="E63" s="243">
        <v>8.6956521739130432E-2</v>
      </c>
      <c r="F63" s="23">
        <v>0.36</v>
      </c>
      <c r="G63" s="23">
        <v>0.23899999999999999</v>
      </c>
      <c r="H63" s="283">
        <v>4</v>
      </c>
      <c r="I63" s="244">
        <v>0.2857142857142857</v>
      </c>
      <c r="J63" s="244">
        <v>0.61428571428571432</v>
      </c>
      <c r="K63" s="242">
        <v>13</v>
      </c>
      <c r="L63" s="131">
        <v>3</v>
      </c>
      <c r="M63" s="131">
        <v>1</v>
      </c>
      <c r="N63" s="131">
        <v>2</v>
      </c>
      <c r="O63" s="15"/>
      <c r="P63" s="164" t="s">
        <v>193</v>
      </c>
    </row>
    <row r="64" spans="1:29" s="17" customFormat="1" x14ac:dyDescent="0.25">
      <c r="A64" s="164" t="s">
        <v>194</v>
      </c>
      <c r="B64" s="259" t="s">
        <v>43</v>
      </c>
      <c r="C64" s="72">
        <v>42</v>
      </c>
      <c r="D64" s="242">
        <v>14</v>
      </c>
      <c r="E64" s="243">
        <v>7.1428571428571425E-2</v>
      </c>
      <c r="F64" s="23">
        <v>0.53600000000000003</v>
      </c>
      <c r="G64" s="23">
        <v>0.26900000000000002</v>
      </c>
      <c r="H64" s="283">
        <v>4</v>
      </c>
      <c r="I64" s="244">
        <v>0.33333333333333331</v>
      </c>
      <c r="J64" s="244">
        <v>0.66666666666666663</v>
      </c>
      <c r="K64" s="242">
        <v>3</v>
      </c>
      <c r="L64" s="131">
        <v>1</v>
      </c>
      <c r="M64" s="131">
        <v>4</v>
      </c>
      <c r="N64" s="131">
        <v>-3</v>
      </c>
      <c r="O64" s="15"/>
      <c r="P64" s="164" t="s">
        <v>194</v>
      </c>
    </row>
    <row r="65" spans="1:68" s="17" customFormat="1" x14ac:dyDescent="0.25">
      <c r="A65" s="140" t="s">
        <v>51</v>
      </c>
      <c r="B65" s="259" t="s">
        <v>43</v>
      </c>
      <c r="C65" s="72">
        <v>45</v>
      </c>
      <c r="D65" s="242">
        <v>106</v>
      </c>
      <c r="E65" s="243">
        <v>1.8867924528301886E-2</v>
      </c>
      <c r="F65" s="23">
        <v>0.183</v>
      </c>
      <c r="G65" s="23">
        <v>0.41299999999999998</v>
      </c>
      <c r="H65" s="283">
        <v>5.3</v>
      </c>
      <c r="I65" s="244">
        <v>0.47019867549668876</v>
      </c>
      <c r="J65" s="244">
        <v>0.49006622516556292</v>
      </c>
      <c r="K65" s="242">
        <v>28</v>
      </c>
      <c r="L65" s="131">
        <v>3</v>
      </c>
      <c r="M65" s="131">
        <v>4</v>
      </c>
      <c r="N65" s="131">
        <v>-1</v>
      </c>
      <c r="O65" s="15"/>
      <c r="P65" s="140" t="s">
        <v>51</v>
      </c>
    </row>
    <row r="66" spans="1:68" s="17" customFormat="1" x14ac:dyDescent="0.25">
      <c r="A66" s="140" t="s">
        <v>48</v>
      </c>
      <c r="B66" s="259" t="s">
        <v>43</v>
      </c>
      <c r="C66" s="72">
        <v>56</v>
      </c>
      <c r="D66" s="242">
        <v>198</v>
      </c>
      <c r="E66" s="243">
        <v>8.5858585858585856E-2</v>
      </c>
      <c r="F66" s="23">
        <v>0.42499999999999999</v>
      </c>
      <c r="G66" s="23">
        <v>0.253</v>
      </c>
      <c r="H66" s="283">
        <v>4.8</v>
      </c>
      <c r="I66" s="244">
        <v>0.16184971098265896</v>
      </c>
      <c r="J66" s="244">
        <v>0.83815028901734101</v>
      </c>
      <c r="K66" s="242">
        <v>33</v>
      </c>
      <c r="L66" s="131">
        <v>4</v>
      </c>
      <c r="M66" s="131">
        <v>2</v>
      </c>
      <c r="N66" s="131">
        <v>2</v>
      </c>
      <c r="O66" s="15"/>
      <c r="P66" s="140" t="s">
        <v>48</v>
      </c>
    </row>
    <row r="67" spans="1:68" s="17" customFormat="1" x14ac:dyDescent="0.25">
      <c r="A67" s="140" t="s">
        <v>47</v>
      </c>
      <c r="B67" s="259" t="s">
        <v>43</v>
      </c>
      <c r="C67" s="72">
        <v>63</v>
      </c>
      <c r="D67" s="242">
        <v>51</v>
      </c>
      <c r="E67" s="243">
        <v>0.17647058823529413</v>
      </c>
      <c r="F67" s="23">
        <v>0.157</v>
      </c>
      <c r="G67" s="23">
        <v>0.76200000000000001</v>
      </c>
      <c r="H67" s="283">
        <v>4.3</v>
      </c>
      <c r="I67" s="244">
        <v>0.27272727272727271</v>
      </c>
      <c r="J67" s="244">
        <v>0.68181818181818177</v>
      </c>
      <c r="K67" s="242">
        <v>10</v>
      </c>
      <c r="L67" s="131">
        <v>4</v>
      </c>
      <c r="M67" s="131">
        <v>0</v>
      </c>
      <c r="N67" s="131">
        <v>4</v>
      </c>
      <c r="O67" s="15"/>
      <c r="P67" s="140" t="s">
        <v>47</v>
      </c>
    </row>
    <row r="68" spans="1:68" s="17" customFormat="1" x14ac:dyDescent="0.25">
      <c r="A68" s="140" t="s">
        <v>46</v>
      </c>
      <c r="B68" s="259" t="s">
        <v>43</v>
      </c>
      <c r="C68" s="72">
        <v>83</v>
      </c>
      <c r="D68" s="242">
        <v>45</v>
      </c>
      <c r="E68" s="243">
        <v>2.2222222222222223E-2</v>
      </c>
      <c r="F68" s="23">
        <v>0.12</v>
      </c>
      <c r="G68" s="23">
        <v>0.6</v>
      </c>
      <c r="H68" s="283">
        <v>4</v>
      </c>
      <c r="I68" s="244">
        <v>0.36363636363636365</v>
      </c>
      <c r="J68" s="244">
        <v>0.63636363636363635</v>
      </c>
      <c r="K68" s="242">
        <v>10</v>
      </c>
      <c r="L68" s="131">
        <v>2</v>
      </c>
      <c r="M68" s="131">
        <v>1</v>
      </c>
      <c r="N68" s="131">
        <v>1</v>
      </c>
      <c r="O68" s="15"/>
      <c r="P68" s="140" t="s">
        <v>46</v>
      </c>
    </row>
    <row r="69" spans="1:68" s="17" customFormat="1" x14ac:dyDescent="0.25">
      <c r="A69" s="140" t="s">
        <v>44</v>
      </c>
      <c r="B69" s="259" t="s">
        <v>43</v>
      </c>
      <c r="C69" s="72">
        <v>93</v>
      </c>
      <c r="D69" s="242">
        <v>111</v>
      </c>
      <c r="E69" s="243">
        <v>0.12612612612612611</v>
      </c>
      <c r="F69" s="23">
        <v>0.251</v>
      </c>
      <c r="G69" s="23">
        <v>0.36799999999999999</v>
      </c>
      <c r="H69" s="283">
        <v>4.3</v>
      </c>
      <c r="I69" s="244">
        <v>0.32558139534883723</v>
      </c>
      <c r="J69" s="244">
        <v>0.65116279069767447</v>
      </c>
      <c r="K69" s="242">
        <v>23</v>
      </c>
      <c r="L69" s="131">
        <v>3</v>
      </c>
      <c r="M69" s="131">
        <v>1</v>
      </c>
      <c r="N69" s="131">
        <v>2</v>
      </c>
      <c r="O69" s="15"/>
      <c r="P69" s="140" t="s">
        <v>44</v>
      </c>
    </row>
    <row r="70" spans="1:68" s="17" customFormat="1" x14ac:dyDescent="0.25">
      <c r="A70" s="140" t="s">
        <v>45</v>
      </c>
      <c r="B70" s="259" t="s">
        <v>43</v>
      </c>
      <c r="C70" s="72">
        <v>103</v>
      </c>
      <c r="D70" s="242">
        <v>16</v>
      </c>
      <c r="E70" s="243">
        <v>0.25</v>
      </c>
      <c r="F70" s="23">
        <v>0.28799999999999998</v>
      </c>
      <c r="G70" s="23">
        <v>0.26100000000000001</v>
      </c>
      <c r="H70" s="283">
        <v>3.8</v>
      </c>
      <c r="I70" s="244">
        <v>0.44736842105263158</v>
      </c>
      <c r="J70" s="244">
        <v>0.47368421052631576</v>
      </c>
      <c r="K70" s="242">
        <v>0</v>
      </c>
      <c r="L70" s="131">
        <v>2</v>
      </c>
      <c r="M70" s="131">
        <v>5</v>
      </c>
      <c r="N70" s="131">
        <v>-3</v>
      </c>
      <c r="O70" s="15"/>
      <c r="P70" s="140" t="s">
        <v>45</v>
      </c>
    </row>
    <row r="71" spans="1:68" x14ac:dyDescent="0.25">
      <c r="A71" s="9" t="s">
        <v>72</v>
      </c>
      <c r="B71" s="259" t="s">
        <v>52</v>
      </c>
      <c r="C71" s="72">
        <v>341</v>
      </c>
      <c r="D71" s="11">
        <v>21</v>
      </c>
      <c r="E71" s="243">
        <v>0.23809523809523808</v>
      </c>
      <c r="F71" s="496">
        <v>0.377</v>
      </c>
      <c r="G71" s="496">
        <v>0.47799999999999998</v>
      </c>
      <c r="H71" s="285">
        <v>4.8</v>
      </c>
      <c r="I71" s="64">
        <v>0.5</v>
      </c>
      <c r="J71" s="64">
        <v>0.5</v>
      </c>
      <c r="K71" s="255">
        <v>0</v>
      </c>
      <c r="L71" s="131">
        <v>1</v>
      </c>
      <c r="M71" s="131">
        <v>4</v>
      </c>
      <c r="N71" s="131">
        <v>-3</v>
      </c>
      <c r="O71" s="314"/>
      <c r="P71" s="9" t="s">
        <v>72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</row>
    <row r="72" spans="1:68" s="17" customFormat="1" x14ac:dyDescent="0.25">
      <c r="A72" s="140" t="s">
        <v>195</v>
      </c>
      <c r="B72" s="259" t="s">
        <v>52</v>
      </c>
      <c r="C72" s="72">
        <v>101</v>
      </c>
      <c r="D72" s="242">
        <v>25</v>
      </c>
      <c r="E72" s="243">
        <v>0.08</v>
      </c>
      <c r="F72" s="23">
        <v>0.36</v>
      </c>
      <c r="G72" s="23">
        <v>0.71899999999999997</v>
      </c>
      <c r="H72" s="497">
        <v>5.9</v>
      </c>
      <c r="I72" s="244">
        <v>0.3</v>
      </c>
      <c r="J72" s="244">
        <v>0.6</v>
      </c>
      <c r="K72" s="242">
        <v>5</v>
      </c>
      <c r="L72" s="131">
        <v>0</v>
      </c>
      <c r="M72" s="131">
        <v>0</v>
      </c>
      <c r="N72" s="131">
        <v>0</v>
      </c>
      <c r="O72" s="15"/>
      <c r="P72" s="140" t="s">
        <v>195</v>
      </c>
    </row>
    <row r="73" spans="1:68" s="17" customFormat="1" x14ac:dyDescent="0.25">
      <c r="A73" s="140" t="s">
        <v>196</v>
      </c>
      <c r="B73" s="259" t="s">
        <v>52</v>
      </c>
      <c r="C73" s="72">
        <v>102</v>
      </c>
      <c r="D73" s="242">
        <v>15</v>
      </c>
      <c r="E73" s="243">
        <v>0</v>
      </c>
      <c r="F73" s="23">
        <v>0.67700000000000005</v>
      </c>
      <c r="G73" s="23">
        <v>0.69599999999999995</v>
      </c>
      <c r="H73" s="497">
        <v>4.8</v>
      </c>
      <c r="I73" s="244">
        <v>0.5714285714285714</v>
      </c>
      <c r="J73" s="244">
        <v>0.35714285714285715</v>
      </c>
      <c r="K73" s="242">
        <v>2</v>
      </c>
      <c r="L73" s="131">
        <v>0</v>
      </c>
      <c r="M73" s="131">
        <v>6</v>
      </c>
      <c r="N73" s="131">
        <v>-6</v>
      </c>
      <c r="O73" s="15"/>
      <c r="P73" s="140" t="s">
        <v>196</v>
      </c>
    </row>
    <row r="74" spans="1:68" s="17" customFormat="1" x14ac:dyDescent="0.25">
      <c r="A74" s="140" t="s">
        <v>53</v>
      </c>
      <c r="B74" s="259" t="s">
        <v>54</v>
      </c>
      <c r="C74" s="72">
        <v>77</v>
      </c>
      <c r="D74" s="242">
        <v>77</v>
      </c>
      <c r="E74" s="243">
        <v>7.792207792207792E-2</v>
      </c>
      <c r="F74" s="23">
        <v>0.253</v>
      </c>
      <c r="G74" s="23">
        <v>0.62</v>
      </c>
      <c r="H74" s="283">
        <v>4.3</v>
      </c>
      <c r="I74" s="244">
        <v>0.23728813559322035</v>
      </c>
      <c r="J74" s="244">
        <v>0.74576271186440679</v>
      </c>
      <c r="K74" s="242">
        <v>18</v>
      </c>
      <c r="L74" s="131">
        <v>4</v>
      </c>
      <c r="M74" s="131">
        <v>0</v>
      </c>
      <c r="N74" s="131">
        <v>4</v>
      </c>
      <c r="O74" s="15"/>
      <c r="P74" s="140" t="s">
        <v>53</v>
      </c>
    </row>
    <row r="75" spans="1:68" s="17" customFormat="1" x14ac:dyDescent="0.25">
      <c r="A75" s="140" t="s">
        <v>55</v>
      </c>
      <c r="B75" s="259" t="s">
        <v>56</v>
      </c>
      <c r="C75" s="72">
        <v>92</v>
      </c>
      <c r="D75" s="242">
        <v>63</v>
      </c>
      <c r="E75" s="243">
        <v>0.1111111111111111</v>
      </c>
      <c r="F75" s="23">
        <v>0.371</v>
      </c>
      <c r="G75" s="23">
        <v>0.38100000000000001</v>
      </c>
      <c r="H75" s="283">
        <v>3.8</v>
      </c>
      <c r="I75" s="244">
        <v>0.30188679245283018</v>
      </c>
      <c r="J75" s="244">
        <v>0.67924528301886788</v>
      </c>
      <c r="K75" s="242">
        <v>17</v>
      </c>
      <c r="L75" s="131">
        <v>2</v>
      </c>
      <c r="M75" s="131">
        <v>1</v>
      </c>
      <c r="N75" s="131">
        <v>1</v>
      </c>
      <c r="O75" s="15"/>
      <c r="P75" s="140" t="s">
        <v>55</v>
      </c>
    </row>
    <row r="76" spans="1:68" s="17" customFormat="1" x14ac:dyDescent="0.25">
      <c r="A76" s="140" t="s">
        <v>59</v>
      </c>
      <c r="B76" s="259" t="s">
        <v>60</v>
      </c>
      <c r="C76" s="72">
        <v>105</v>
      </c>
      <c r="D76" s="242">
        <v>33</v>
      </c>
      <c r="E76" s="243">
        <v>9.0909090909090912E-2</v>
      </c>
      <c r="F76" s="23">
        <v>0.41699999999999998</v>
      </c>
      <c r="G76" s="23">
        <v>0.76700000000000002</v>
      </c>
      <c r="H76" s="283">
        <v>4.2</v>
      </c>
      <c r="I76" s="244">
        <v>0.6333333333333333</v>
      </c>
      <c r="J76" s="244">
        <v>0.3</v>
      </c>
      <c r="K76" s="242">
        <v>5</v>
      </c>
      <c r="L76" s="131">
        <v>2</v>
      </c>
      <c r="M76" s="131">
        <v>2</v>
      </c>
      <c r="N76" s="131">
        <v>0</v>
      </c>
      <c r="O76" s="15"/>
      <c r="P76" s="140" t="s">
        <v>59</v>
      </c>
    </row>
    <row r="77" spans="1:68" s="17" customFormat="1" x14ac:dyDescent="0.25">
      <c r="A77" s="140" t="s">
        <v>61</v>
      </c>
      <c r="B77" s="259" t="s">
        <v>62</v>
      </c>
      <c r="C77" s="72">
        <v>107</v>
      </c>
      <c r="D77" s="242">
        <v>84</v>
      </c>
      <c r="E77" s="243">
        <v>2.3809523809523808E-2</v>
      </c>
      <c r="F77" s="23">
        <v>0.10299999999999999</v>
      </c>
      <c r="G77" s="23">
        <v>0.84</v>
      </c>
      <c r="H77" s="283">
        <v>4.8</v>
      </c>
      <c r="I77" s="244">
        <v>0.25</v>
      </c>
      <c r="J77" s="244">
        <v>0.73529411764705888</v>
      </c>
      <c r="K77" s="242">
        <v>21</v>
      </c>
      <c r="L77" s="131">
        <v>5</v>
      </c>
      <c r="M77" s="131">
        <v>1</v>
      </c>
      <c r="N77" s="131">
        <v>4</v>
      </c>
      <c r="O77" s="15"/>
      <c r="P77" s="140" t="s">
        <v>61</v>
      </c>
    </row>
    <row r="78" spans="1:68" s="17" customFormat="1" x14ac:dyDescent="0.25">
      <c r="A78" s="140" t="s">
        <v>22</v>
      </c>
      <c r="B78" s="259" t="s">
        <v>167</v>
      </c>
      <c r="C78" s="72" t="s">
        <v>165</v>
      </c>
      <c r="D78" s="242">
        <v>22</v>
      </c>
      <c r="E78" s="243">
        <v>0.27272727272727271</v>
      </c>
      <c r="F78" s="23">
        <v>0.47499999999999998</v>
      </c>
      <c r="G78" s="23">
        <v>0.71399999999999997</v>
      </c>
      <c r="H78" s="283">
        <v>5</v>
      </c>
      <c r="I78" s="244">
        <v>0.4</v>
      </c>
      <c r="J78" s="244">
        <v>0.6</v>
      </c>
      <c r="K78" s="242">
        <v>2</v>
      </c>
      <c r="L78" s="131">
        <v>1</v>
      </c>
      <c r="M78" s="131">
        <v>2</v>
      </c>
      <c r="N78" s="131">
        <v>-1</v>
      </c>
      <c r="O78" s="15"/>
      <c r="P78" s="140" t="s">
        <v>22</v>
      </c>
    </row>
    <row r="79" spans="1:68" x14ac:dyDescent="0.25">
      <c r="A79" s="140" t="s">
        <v>65</v>
      </c>
      <c r="B79" s="259" t="s">
        <v>63</v>
      </c>
      <c r="C79" s="72">
        <v>79</v>
      </c>
      <c r="D79" s="242">
        <v>17</v>
      </c>
      <c r="E79" s="243">
        <v>0.23529411764705882</v>
      </c>
      <c r="F79" s="23">
        <v>0.23899999999999999</v>
      </c>
      <c r="G79" s="23">
        <v>0.66700000000000004</v>
      </c>
      <c r="H79" s="283">
        <v>4.5999999999999996</v>
      </c>
      <c r="I79" s="244">
        <v>0.35294117647058826</v>
      </c>
      <c r="J79" s="244">
        <v>0.6470588235294118</v>
      </c>
      <c r="K79" s="242">
        <v>6</v>
      </c>
      <c r="L79" s="131">
        <v>1</v>
      </c>
      <c r="M79" s="131">
        <v>1</v>
      </c>
      <c r="N79" s="131">
        <v>0</v>
      </c>
      <c r="O79" s="15"/>
      <c r="P79" s="140" t="s">
        <v>65</v>
      </c>
    </row>
    <row r="80" spans="1:68" x14ac:dyDescent="0.25">
      <c r="A80" s="140" t="s">
        <v>23</v>
      </c>
      <c r="B80" s="259" t="s">
        <v>63</v>
      </c>
      <c r="C80" s="72">
        <v>115</v>
      </c>
      <c r="D80" s="242">
        <v>83</v>
      </c>
      <c r="E80" s="243">
        <v>0.21686746987951808</v>
      </c>
      <c r="F80" s="23">
        <v>5.0999999999999997E-2</v>
      </c>
      <c r="G80" s="23">
        <v>0.90500000000000003</v>
      </c>
      <c r="H80" s="283">
        <v>5.9</v>
      </c>
      <c r="I80" s="244">
        <v>0.1111111111111111</v>
      </c>
      <c r="J80" s="244">
        <v>0.8666666666666667</v>
      </c>
      <c r="K80" s="242">
        <v>12</v>
      </c>
      <c r="L80" s="131">
        <v>7</v>
      </c>
      <c r="M80" s="131">
        <v>0</v>
      </c>
      <c r="N80" s="131">
        <v>7</v>
      </c>
      <c r="O80" s="15"/>
      <c r="P80" s="140" t="s">
        <v>23</v>
      </c>
    </row>
    <row r="81" spans="1:68" x14ac:dyDescent="0.25">
      <c r="A81" s="140" t="s">
        <v>64</v>
      </c>
      <c r="B81" s="259" t="s">
        <v>63</v>
      </c>
      <c r="C81" s="72">
        <v>120</v>
      </c>
      <c r="D81" s="242">
        <v>33</v>
      </c>
      <c r="E81" s="243">
        <v>0.12121212121212122</v>
      </c>
      <c r="F81" s="23">
        <v>0.29099999999999998</v>
      </c>
      <c r="G81" s="23">
        <v>0.91200000000000003</v>
      </c>
      <c r="H81" s="283">
        <v>5</v>
      </c>
      <c r="I81" s="244">
        <v>0.3235294117647059</v>
      </c>
      <c r="J81" s="244">
        <v>0.6470588235294118</v>
      </c>
      <c r="K81" s="242">
        <v>6</v>
      </c>
      <c r="L81" s="131">
        <v>1</v>
      </c>
      <c r="M81" s="131">
        <v>0</v>
      </c>
      <c r="N81" s="131">
        <v>1</v>
      </c>
      <c r="O81" s="15"/>
      <c r="P81" s="140" t="s">
        <v>64</v>
      </c>
    </row>
    <row r="82" spans="1:68" x14ac:dyDescent="0.25">
      <c r="A82" s="140" t="s">
        <v>66</v>
      </c>
      <c r="B82" s="259" t="s">
        <v>67</v>
      </c>
      <c r="C82" s="72">
        <v>137</v>
      </c>
      <c r="D82" s="242">
        <v>32</v>
      </c>
      <c r="E82" s="243">
        <v>6.25E-2</v>
      </c>
      <c r="F82" s="23">
        <v>0.35799999999999998</v>
      </c>
      <c r="G82" s="23">
        <v>0.82399999999999995</v>
      </c>
      <c r="H82" s="283">
        <v>4.8</v>
      </c>
      <c r="I82" s="244">
        <v>0.22857142857142856</v>
      </c>
      <c r="J82" s="244">
        <v>0.74285714285714288</v>
      </c>
      <c r="K82" s="242">
        <v>8</v>
      </c>
      <c r="L82" s="131">
        <v>3</v>
      </c>
      <c r="M82" s="131">
        <v>0</v>
      </c>
      <c r="N82" s="131">
        <v>3</v>
      </c>
      <c r="O82" s="15"/>
      <c r="P82" s="140" t="s">
        <v>66</v>
      </c>
    </row>
    <row r="83" spans="1:68" x14ac:dyDescent="0.25">
      <c r="A83" s="457"/>
      <c r="B83" s="458"/>
      <c r="C83" s="458"/>
      <c r="D83" s="498"/>
      <c r="E83" s="498"/>
      <c r="F83" s="446"/>
      <c r="G83" s="499"/>
      <c r="H83" s="500"/>
      <c r="I83" s="501"/>
      <c r="J83" s="501"/>
      <c r="K83" s="502"/>
      <c r="L83" s="459"/>
      <c r="M83" s="459"/>
      <c r="N83" s="459"/>
      <c r="O83" s="460"/>
      <c r="P83" s="457"/>
    </row>
    <row r="84" spans="1:68" s="17" customFormat="1" x14ac:dyDescent="0.25">
      <c r="A84" s="460"/>
      <c r="B84" s="461"/>
      <c r="C84" s="462"/>
      <c r="D84" s="357"/>
      <c r="E84" s="357"/>
      <c r="F84" s="442"/>
      <c r="G84" s="503"/>
      <c r="H84" s="504"/>
      <c r="I84" s="505"/>
      <c r="J84" s="481"/>
      <c r="K84" s="506"/>
      <c r="L84" s="463"/>
      <c r="M84" s="463"/>
      <c r="N84" s="463"/>
      <c r="O84" s="460"/>
      <c r="P84" s="460"/>
    </row>
    <row r="85" spans="1:68" s="17" customFormat="1" x14ac:dyDescent="0.25">
      <c r="A85" s="437" t="s">
        <v>144</v>
      </c>
      <c r="B85" s="461"/>
      <c r="C85" s="462"/>
      <c r="D85" s="357"/>
      <c r="E85" s="357"/>
      <c r="F85" s="442"/>
      <c r="G85" s="503"/>
      <c r="H85" s="181"/>
      <c r="I85" s="505"/>
      <c r="J85" s="481"/>
      <c r="K85" s="492"/>
      <c r="L85" s="463"/>
      <c r="M85" s="463"/>
      <c r="N85" s="463"/>
      <c r="O85" s="460"/>
    </row>
    <row r="86" spans="1:68" x14ac:dyDescent="0.25">
      <c r="A86" s="704" t="s">
        <v>68</v>
      </c>
      <c r="B86" s="461"/>
      <c r="C86" s="462"/>
      <c r="D86" s="357"/>
      <c r="E86" s="357"/>
      <c r="F86" s="442"/>
      <c r="G86" s="503"/>
      <c r="H86" s="181"/>
      <c r="I86" s="505"/>
      <c r="J86" s="481"/>
      <c r="K86" s="492"/>
      <c r="L86" s="463"/>
      <c r="M86" s="463"/>
      <c r="N86" s="463"/>
      <c r="O86" s="460"/>
      <c r="P86" s="316"/>
    </row>
    <row r="87" spans="1:68" x14ac:dyDescent="0.25">
      <c r="A87" s="27" t="s">
        <v>87</v>
      </c>
      <c r="B87" s="259" t="s">
        <v>63</v>
      </c>
      <c r="C87" s="72">
        <v>501</v>
      </c>
      <c r="D87" s="11">
        <v>16</v>
      </c>
      <c r="E87" s="243">
        <v>6.25E-2</v>
      </c>
      <c r="F87" s="496">
        <v>0.129</v>
      </c>
      <c r="G87" s="496">
        <v>0.68799999999999994</v>
      </c>
      <c r="H87" s="285">
        <v>4</v>
      </c>
      <c r="I87" s="64" t="s">
        <v>273</v>
      </c>
      <c r="J87" s="395" t="s">
        <v>273</v>
      </c>
      <c r="K87" s="255">
        <v>2</v>
      </c>
      <c r="L87" s="314"/>
      <c r="M87" s="155"/>
      <c r="N87" s="314"/>
      <c r="O87" s="314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</row>
    <row r="88" spans="1:68" s="134" customFormat="1" x14ac:dyDescent="0.25">
      <c r="A88" s="27" t="s">
        <v>86</v>
      </c>
      <c r="B88" s="15" t="s">
        <v>5</v>
      </c>
      <c r="C88" s="72">
        <v>519</v>
      </c>
      <c r="D88" s="11">
        <v>25</v>
      </c>
      <c r="E88" s="243">
        <v>0.08</v>
      </c>
      <c r="F88" s="64" t="s">
        <v>273</v>
      </c>
      <c r="G88" s="496" t="s">
        <v>273</v>
      </c>
      <c r="H88" s="285">
        <v>2.2999999999999998</v>
      </c>
      <c r="I88" s="64" t="s">
        <v>273</v>
      </c>
      <c r="J88" s="395" t="s">
        <v>273</v>
      </c>
      <c r="K88" s="255">
        <v>7</v>
      </c>
      <c r="L88" s="460"/>
      <c r="M88" s="155"/>
      <c r="N88" s="314"/>
      <c r="O88" s="314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</row>
    <row r="89" spans="1:68" x14ac:dyDescent="0.25">
      <c r="A89" s="140" t="s">
        <v>168</v>
      </c>
      <c r="B89" s="259" t="s">
        <v>63</v>
      </c>
      <c r="C89" s="72">
        <v>116</v>
      </c>
      <c r="D89" s="11">
        <v>35</v>
      </c>
      <c r="E89" s="243">
        <v>0.25714285714285712</v>
      </c>
      <c r="F89" s="507">
        <v>0.40699999999999997</v>
      </c>
      <c r="G89" s="507">
        <v>0.59099999999999997</v>
      </c>
      <c r="H89" s="284">
        <v>1</v>
      </c>
      <c r="I89" s="64" t="s">
        <v>273</v>
      </c>
      <c r="J89" s="395" t="s">
        <v>273</v>
      </c>
      <c r="K89" s="255">
        <v>1</v>
      </c>
      <c r="L89" s="445"/>
      <c r="M89" s="316"/>
      <c r="N89" s="316"/>
      <c r="O89" s="316"/>
    </row>
    <row r="90" spans="1:68" x14ac:dyDescent="0.25">
      <c r="A90" s="464"/>
      <c r="B90" s="465"/>
      <c r="C90" s="462"/>
      <c r="D90" s="174"/>
      <c r="E90" s="174"/>
      <c r="F90" s="509"/>
      <c r="G90" s="509"/>
      <c r="H90" s="470"/>
      <c r="I90" s="84"/>
      <c r="J90" s="397"/>
      <c r="K90" s="176"/>
      <c r="L90" s="314"/>
      <c r="M90" s="466"/>
      <c r="N90" s="314"/>
      <c r="O90" s="314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</row>
    <row r="91" spans="1:68" x14ac:dyDescent="0.25">
      <c r="A91" s="705" t="s">
        <v>95</v>
      </c>
      <c r="B91" s="465"/>
      <c r="C91" s="462"/>
      <c r="D91" s="174"/>
      <c r="E91" s="174"/>
      <c r="F91" s="509"/>
      <c r="G91" s="509"/>
      <c r="H91" s="470"/>
      <c r="I91" s="398"/>
      <c r="J91" s="399"/>
      <c r="K91" s="176"/>
      <c r="L91" s="314"/>
      <c r="M91" s="466"/>
      <c r="N91" s="314"/>
      <c r="O91" s="314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</row>
    <row r="92" spans="1:68" s="90" customFormat="1" x14ac:dyDescent="0.25">
      <c r="A92" s="438" t="s">
        <v>145</v>
      </c>
      <c r="B92" s="259" t="s">
        <v>5</v>
      </c>
      <c r="C92" s="72">
        <v>84</v>
      </c>
      <c r="D92" s="10">
        <v>74</v>
      </c>
      <c r="E92" s="243">
        <v>0.10810810810810811</v>
      </c>
      <c r="F92" s="496">
        <v>0.33100000000000002</v>
      </c>
      <c r="G92" s="496">
        <v>0.84799999999999998</v>
      </c>
      <c r="H92" s="285">
        <v>5.3</v>
      </c>
      <c r="I92" s="64">
        <v>0.25</v>
      </c>
      <c r="J92" s="395">
        <v>0.63157894736842102</v>
      </c>
      <c r="K92" s="255">
        <v>22</v>
      </c>
      <c r="L92" s="314"/>
      <c r="M92" s="169"/>
      <c r="N92" s="314"/>
      <c r="O92" s="314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</row>
    <row r="93" spans="1:68" x14ac:dyDescent="0.25">
      <c r="A93" s="438" t="s">
        <v>7</v>
      </c>
      <c r="B93" s="258" t="s">
        <v>5</v>
      </c>
      <c r="C93" s="439">
        <v>112</v>
      </c>
      <c r="D93" s="448">
        <v>27</v>
      </c>
      <c r="E93" s="243">
        <v>7.407407407407407E-2</v>
      </c>
      <c r="F93" s="496">
        <v>0.125</v>
      </c>
      <c r="G93" s="496">
        <v>0.82399999999999995</v>
      </c>
      <c r="H93" s="449">
        <v>4.9000000000000004</v>
      </c>
      <c r="I93" s="64">
        <v>0.33333333333333331</v>
      </c>
      <c r="J93" s="395">
        <v>0.66666666666666663</v>
      </c>
      <c r="K93" s="255">
        <v>2</v>
      </c>
      <c r="L93" s="460"/>
      <c r="M93" s="169"/>
      <c r="N93" s="314"/>
      <c r="O93" s="314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</row>
    <row r="94" spans="1:68" x14ac:dyDescent="0.25">
      <c r="A94" s="9" t="s">
        <v>69</v>
      </c>
      <c r="B94" s="259" t="s">
        <v>5</v>
      </c>
      <c r="C94" s="72">
        <v>474</v>
      </c>
      <c r="D94" s="11">
        <v>12</v>
      </c>
      <c r="E94" s="243">
        <v>0.16666666666666666</v>
      </c>
      <c r="F94" s="496">
        <v>0.5</v>
      </c>
      <c r="G94" s="496">
        <v>0.9</v>
      </c>
      <c r="H94" s="285">
        <v>3.6</v>
      </c>
      <c r="I94" s="64">
        <v>0</v>
      </c>
      <c r="J94" s="395">
        <v>1</v>
      </c>
      <c r="K94" s="255">
        <v>4</v>
      </c>
      <c r="L94" s="460"/>
      <c r="M94" s="155"/>
      <c r="N94" s="314"/>
      <c r="O94" s="314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</row>
    <row r="95" spans="1:68" s="134" customFormat="1" x14ac:dyDescent="0.25">
      <c r="A95" s="27" t="s">
        <v>86</v>
      </c>
      <c r="B95" s="259" t="s">
        <v>5</v>
      </c>
      <c r="C95" s="72">
        <v>519</v>
      </c>
      <c r="D95" s="11">
        <v>25</v>
      </c>
      <c r="E95" s="243">
        <v>0.08</v>
      </c>
      <c r="F95" s="64" t="s">
        <v>273</v>
      </c>
      <c r="G95" s="496" t="s">
        <v>273</v>
      </c>
      <c r="H95" s="285">
        <v>2.2999999999999998</v>
      </c>
      <c r="I95" s="64" t="s">
        <v>273</v>
      </c>
      <c r="J95" s="395" t="s">
        <v>273</v>
      </c>
      <c r="K95" s="255">
        <v>7</v>
      </c>
      <c r="L95" s="460"/>
      <c r="M95" s="155"/>
      <c r="N95" s="314"/>
      <c r="O95" s="314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</row>
    <row r="96" spans="1:68" x14ac:dyDescent="0.25">
      <c r="A96" s="9" t="s">
        <v>94</v>
      </c>
      <c r="B96" s="259" t="s">
        <v>58</v>
      </c>
      <c r="C96" s="72">
        <v>492</v>
      </c>
      <c r="D96" s="11">
        <v>26</v>
      </c>
      <c r="E96" s="243">
        <v>0.11538461538461539</v>
      </c>
      <c r="F96" s="496">
        <v>0.33600000000000002</v>
      </c>
      <c r="G96" s="496">
        <v>0.73699999999999999</v>
      </c>
      <c r="H96" s="285">
        <v>4.3</v>
      </c>
      <c r="I96" s="64" t="s">
        <v>273</v>
      </c>
      <c r="J96" s="395" t="s">
        <v>273</v>
      </c>
      <c r="K96" s="255">
        <v>3</v>
      </c>
      <c r="L96" s="460"/>
      <c r="M96" s="155"/>
      <c r="N96" s="314"/>
      <c r="O96" s="314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</row>
    <row r="97" spans="1:68" x14ac:dyDescent="0.25">
      <c r="A97" s="9" t="s">
        <v>57</v>
      </c>
      <c r="B97" s="259" t="s">
        <v>58</v>
      </c>
      <c r="C97" s="72">
        <v>97</v>
      </c>
      <c r="D97" s="10">
        <v>190</v>
      </c>
      <c r="E97" s="243">
        <v>0.12631578947368421</v>
      </c>
      <c r="F97" s="496">
        <v>0.214</v>
      </c>
      <c r="G97" s="496">
        <v>0.60099999999999998</v>
      </c>
      <c r="H97" s="285">
        <v>5</v>
      </c>
      <c r="I97" s="64">
        <v>0.19653179190751446</v>
      </c>
      <c r="J97" s="395">
        <v>0.78034682080924855</v>
      </c>
      <c r="K97" s="255">
        <v>46</v>
      </c>
      <c r="L97" s="460"/>
      <c r="M97" s="169"/>
      <c r="N97" s="314"/>
      <c r="O97" s="314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</row>
    <row r="98" spans="1:68" x14ac:dyDescent="0.25">
      <c r="A98" s="27" t="s">
        <v>85</v>
      </c>
      <c r="B98" s="259" t="s">
        <v>88</v>
      </c>
      <c r="C98" s="72">
        <v>455</v>
      </c>
      <c r="D98" s="11">
        <v>24</v>
      </c>
      <c r="E98" s="243">
        <v>0.16666666666666666</v>
      </c>
      <c r="F98" s="496">
        <v>0.16</v>
      </c>
      <c r="G98" s="496">
        <v>0.93799999999999994</v>
      </c>
      <c r="H98" s="285">
        <v>2.6</v>
      </c>
      <c r="I98" s="64" t="s">
        <v>273</v>
      </c>
      <c r="J98" s="395" t="s">
        <v>273</v>
      </c>
      <c r="K98" s="255">
        <v>2</v>
      </c>
      <c r="L98" s="460"/>
      <c r="M98" s="155"/>
      <c r="N98" s="314"/>
      <c r="O98" s="314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</row>
    <row r="99" spans="1:68" ht="13.5" customHeight="1" x14ac:dyDescent="0.25">
      <c r="A99" s="464"/>
      <c r="B99" s="467"/>
      <c r="C99" s="462"/>
      <c r="D99" s="238"/>
      <c r="E99" s="17"/>
      <c r="F99" s="146"/>
      <c r="G99" s="147"/>
      <c r="I99" s="17"/>
      <c r="J99" s="17"/>
      <c r="K99" s="17"/>
      <c r="L99" s="460"/>
      <c r="M99" s="466"/>
      <c r="N99" s="314"/>
      <c r="O99" s="314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</row>
    <row r="100" spans="1:68" s="17" customFormat="1" x14ac:dyDescent="0.25">
      <c r="A100" s="155"/>
      <c r="C100" s="147"/>
      <c r="E100" s="146"/>
      <c r="F100" s="66"/>
      <c r="G100" s="236"/>
      <c r="M100" s="436"/>
      <c r="N100" s="436"/>
      <c r="O100" s="436"/>
    </row>
    <row r="101" spans="1:68" s="17" customFormat="1" x14ac:dyDescent="0.25">
      <c r="B101" s="66"/>
      <c r="C101" s="144"/>
      <c r="F101" s="66"/>
      <c r="G101" s="236"/>
      <c r="I101" s="146"/>
      <c r="J101" s="425"/>
      <c r="K101" s="149"/>
      <c r="M101" s="436"/>
      <c r="N101" s="436"/>
      <c r="O101" s="436"/>
    </row>
    <row r="102" spans="1:68" s="17" customFormat="1" x14ac:dyDescent="0.25">
      <c r="B102" s="55"/>
      <c r="C102" s="55"/>
      <c r="F102" s="66"/>
      <c r="G102" s="236"/>
      <c r="I102" s="146"/>
      <c r="J102" s="147"/>
      <c r="K102" s="149"/>
      <c r="M102" s="436"/>
      <c r="N102" s="436"/>
      <c r="O102" s="436"/>
    </row>
    <row r="103" spans="1:68" s="17" customFormat="1" x14ac:dyDescent="0.25">
      <c r="B103" s="55"/>
      <c r="C103" s="55"/>
      <c r="F103" s="66"/>
      <c r="G103" s="236"/>
      <c r="I103" s="146"/>
      <c r="J103" s="147"/>
      <c r="K103" s="149"/>
      <c r="M103" s="436"/>
      <c r="N103" s="436"/>
      <c r="O103" s="436"/>
    </row>
    <row r="104" spans="1:68" s="17" customFormat="1" x14ac:dyDescent="0.25">
      <c r="B104" s="55"/>
      <c r="C104" s="55"/>
      <c r="F104" s="66"/>
      <c r="G104" s="236"/>
      <c r="I104" s="146"/>
      <c r="J104" s="147"/>
      <c r="K104" s="149"/>
      <c r="M104" s="436"/>
      <c r="N104" s="436"/>
      <c r="O104" s="436"/>
    </row>
    <row r="105" spans="1:68" s="17" customFormat="1" x14ac:dyDescent="0.25">
      <c r="B105" s="55"/>
      <c r="C105" s="55"/>
      <c r="F105" s="66"/>
      <c r="G105" s="236"/>
      <c r="I105" s="146"/>
      <c r="J105" s="147"/>
      <c r="K105" s="149"/>
      <c r="M105" s="436"/>
      <c r="N105" s="436"/>
      <c r="O105" s="436"/>
    </row>
    <row r="106" spans="1:68" s="17" customFormat="1" x14ac:dyDescent="0.25">
      <c r="B106" s="55"/>
      <c r="C106" s="55"/>
      <c r="F106" s="66"/>
      <c r="G106" s="236"/>
      <c r="I106" s="146"/>
      <c r="J106" s="147"/>
      <c r="K106" s="149"/>
      <c r="M106" s="436"/>
      <c r="N106" s="436"/>
      <c r="O106" s="436"/>
    </row>
    <row r="107" spans="1:68" s="17" customFormat="1" x14ac:dyDescent="0.25">
      <c r="B107" s="55"/>
      <c r="C107" s="55"/>
      <c r="F107" s="66"/>
      <c r="G107" s="236"/>
      <c r="I107" s="146"/>
      <c r="J107" s="147"/>
      <c r="K107" s="149"/>
      <c r="M107" s="436"/>
      <c r="N107" s="436"/>
      <c r="O107" s="436"/>
    </row>
    <row r="108" spans="1:68" s="17" customFormat="1" x14ac:dyDescent="0.25">
      <c r="B108" s="55"/>
      <c r="C108" s="55"/>
      <c r="F108" s="66"/>
      <c r="G108" s="236"/>
      <c r="I108" s="146"/>
      <c r="J108" s="147"/>
      <c r="K108" s="149"/>
      <c r="M108" s="436"/>
      <c r="N108" s="436"/>
      <c r="O108" s="436"/>
    </row>
    <row r="109" spans="1:68" s="17" customFormat="1" x14ac:dyDescent="0.25">
      <c r="B109" s="55"/>
      <c r="C109" s="55"/>
      <c r="F109" s="66"/>
      <c r="G109" s="236"/>
      <c r="I109" s="146"/>
      <c r="J109" s="147"/>
      <c r="K109" s="149"/>
      <c r="M109" s="436"/>
      <c r="N109" s="436"/>
      <c r="O109" s="436"/>
    </row>
    <row r="110" spans="1:68" s="17" customFormat="1" x14ac:dyDescent="0.25">
      <c r="B110" s="55"/>
      <c r="C110" s="55"/>
      <c r="F110" s="66"/>
      <c r="G110" s="236"/>
      <c r="I110" s="146"/>
      <c r="J110" s="147"/>
      <c r="K110" s="149"/>
      <c r="M110" s="436"/>
      <c r="N110" s="436"/>
      <c r="O110" s="436"/>
    </row>
    <row r="111" spans="1:68" s="17" customFormat="1" x14ac:dyDescent="0.25">
      <c r="B111" s="55"/>
      <c r="C111" s="55"/>
      <c r="F111" s="66"/>
      <c r="G111" s="236"/>
      <c r="I111" s="146"/>
      <c r="J111" s="147"/>
      <c r="K111" s="149"/>
      <c r="M111" s="436"/>
      <c r="N111" s="436"/>
      <c r="O111" s="436"/>
    </row>
    <row r="112" spans="1:68" s="17" customFormat="1" x14ac:dyDescent="0.25">
      <c r="B112" s="55"/>
      <c r="C112" s="55"/>
      <c r="F112" s="66"/>
      <c r="G112" s="236"/>
      <c r="I112" s="146"/>
      <c r="J112" s="147"/>
      <c r="K112" s="149"/>
      <c r="M112" s="436"/>
      <c r="N112" s="436"/>
      <c r="O112" s="436"/>
    </row>
    <row r="113" spans="2:16" s="17" customFormat="1" x14ac:dyDescent="0.25">
      <c r="B113" s="55"/>
      <c r="C113" s="55"/>
      <c r="F113" s="66"/>
      <c r="G113" s="236"/>
      <c r="I113" s="146"/>
      <c r="J113" s="147"/>
      <c r="K113" s="149"/>
      <c r="M113" s="436"/>
      <c r="N113" s="436"/>
      <c r="O113" s="436"/>
    </row>
    <row r="114" spans="2:16" s="17" customFormat="1" x14ac:dyDescent="0.25">
      <c r="B114" s="55"/>
      <c r="C114" s="55"/>
      <c r="F114" s="66"/>
      <c r="G114" s="236"/>
      <c r="I114" s="146"/>
      <c r="J114" s="147"/>
      <c r="K114" s="149"/>
      <c r="P114"/>
    </row>
    <row r="115" spans="2:16" s="17" customFormat="1" x14ac:dyDescent="0.25">
      <c r="B115" s="55"/>
      <c r="C115" s="55"/>
      <c r="F115" s="66"/>
      <c r="G115" s="236"/>
      <c r="I115" s="146"/>
      <c r="J115" s="147"/>
      <c r="K115" s="149"/>
      <c r="P115"/>
    </row>
    <row r="116" spans="2:16" s="17" customFormat="1" x14ac:dyDescent="0.25">
      <c r="B116" s="55"/>
      <c r="C116" s="55"/>
      <c r="F116" s="66"/>
      <c r="G116" s="236"/>
      <c r="I116" s="146"/>
      <c r="J116" s="147"/>
      <c r="K116" s="149"/>
      <c r="P116"/>
    </row>
    <row r="117" spans="2:16" s="17" customFormat="1" x14ac:dyDescent="0.25">
      <c r="B117" s="55"/>
      <c r="C117" s="55"/>
      <c r="F117" s="66"/>
      <c r="G117" s="236"/>
      <c r="I117" s="146"/>
      <c r="J117" s="147"/>
      <c r="K117" s="149"/>
      <c r="P117"/>
    </row>
    <row r="118" spans="2:16" s="17" customFormat="1" x14ac:dyDescent="0.25">
      <c r="B118" s="55"/>
      <c r="C118" s="55"/>
      <c r="F118" s="66"/>
      <c r="G118" s="236"/>
      <c r="I118" s="146"/>
      <c r="J118" s="147"/>
      <c r="K118" s="149"/>
      <c r="P118"/>
    </row>
    <row r="119" spans="2:16" s="17" customFormat="1" x14ac:dyDescent="0.25">
      <c r="B119" s="55"/>
      <c r="C119" s="55"/>
      <c r="F119" s="66"/>
      <c r="G119" s="236"/>
      <c r="I119" s="146"/>
      <c r="J119" s="147"/>
      <c r="K119" s="149"/>
      <c r="P119"/>
    </row>
    <row r="120" spans="2:16" s="17" customFormat="1" x14ac:dyDescent="0.25">
      <c r="B120" s="55"/>
      <c r="C120" s="55"/>
      <c r="F120" s="66"/>
      <c r="G120" s="236"/>
      <c r="I120" s="146"/>
      <c r="J120" s="147"/>
      <c r="K120" s="149"/>
      <c r="P120"/>
    </row>
    <row r="121" spans="2:16" s="17" customFormat="1" x14ac:dyDescent="0.25">
      <c r="B121" s="55"/>
      <c r="C121" s="55"/>
      <c r="F121" s="66"/>
      <c r="G121" s="236"/>
      <c r="I121" s="146"/>
      <c r="J121" s="147"/>
      <c r="K121" s="149"/>
      <c r="P121"/>
    </row>
    <row r="122" spans="2:16" s="17" customFormat="1" x14ac:dyDescent="0.25">
      <c r="B122" s="55"/>
      <c r="C122" s="55"/>
      <c r="F122" s="66"/>
      <c r="G122" s="236"/>
      <c r="I122" s="146"/>
      <c r="J122" s="147"/>
      <c r="K122" s="149"/>
      <c r="P122"/>
    </row>
    <row r="123" spans="2:16" s="17" customFormat="1" x14ac:dyDescent="0.25">
      <c r="B123" s="55"/>
      <c r="C123" s="55"/>
      <c r="F123" s="66"/>
      <c r="G123" s="236"/>
      <c r="I123" s="146"/>
      <c r="J123" s="147"/>
      <c r="K123" s="149"/>
      <c r="P123"/>
    </row>
    <row r="124" spans="2:16" s="17" customFormat="1" x14ac:dyDescent="0.25">
      <c r="B124" s="55"/>
      <c r="C124" s="55"/>
      <c r="F124" s="66"/>
      <c r="G124" s="236"/>
      <c r="I124" s="146"/>
      <c r="J124" s="147"/>
      <c r="K124" s="149"/>
      <c r="P124"/>
    </row>
    <row r="125" spans="2:16" s="17" customFormat="1" x14ac:dyDescent="0.25">
      <c r="B125" s="55"/>
      <c r="C125" s="55"/>
      <c r="F125" s="66"/>
      <c r="G125" s="236"/>
      <c r="I125" s="146"/>
      <c r="J125" s="147"/>
      <c r="K125" s="149"/>
    </row>
    <row r="126" spans="2:16" s="17" customFormat="1" x14ac:dyDescent="0.25">
      <c r="B126" s="55"/>
      <c r="C126" s="55"/>
      <c r="F126" s="66"/>
      <c r="G126" s="236"/>
      <c r="I126" s="146"/>
      <c r="J126" s="147"/>
      <c r="K126" s="149"/>
    </row>
    <row r="127" spans="2:16" s="17" customFormat="1" x14ac:dyDescent="0.25">
      <c r="B127" s="55"/>
      <c r="C127" s="55"/>
      <c r="F127" s="66"/>
      <c r="G127" s="236"/>
      <c r="I127" s="146"/>
      <c r="J127" s="147"/>
      <c r="K127" s="149"/>
    </row>
    <row r="128" spans="2:16" s="17" customFormat="1" x14ac:dyDescent="0.25">
      <c r="B128" s="55"/>
      <c r="C128" s="55"/>
      <c r="F128" s="66"/>
      <c r="G128" s="236"/>
      <c r="I128" s="146"/>
      <c r="J128" s="147"/>
      <c r="K128" s="149"/>
    </row>
    <row r="129" spans="2:11" s="17" customFormat="1" x14ac:dyDescent="0.25">
      <c r="B129" s="55"/>
      <c r="C129" s="55"/>
      <c r="F129" s="66"/>
      <c r="G129" s="236"/>
      <c r="I129" s="146"/>
      <c r="J129" s="147"/>
      <c r="K129" s="149"/>
    </row>
    <row r="130" spans="2:11" s="17" customFormat="1" x14ac:dyDescent="0.25">
      <c r="B130" s="55"/>
      <c r="C130" s="55"/>
      <c r="F130" s="66"/>
      <c r="G130" s="236"/>
      <c r="I130" s="146"/>
      <c r="J130" s="147"/>
      <c r="K130" s="149"/>
    </row>
    <row r="131" spans="2:11" s="17" customFormat="1" x14ac:dyDescent="0.25">
      <c r="B131" s="55"/>
      <c r="C131" s="55"/>
      <c r="F131" s="66"/>
      <c r="G131" s="236"/>
      <c r="I131" s="146"/>
      <c r="J131" s="147"/>
      <c r="K131" s="149"/>
    </row>
    <row r="132" spans="2:11" s="17" customFormat="1" x14ac:dyDescent="0.25">
      <c r="B132" s="55"/>
      <c r="C132" s="55"/>
      <c r="F132" s="66"/>
      <c r="G132" s="236"/>
      <c r="I132" s="146"/>
      <c r="J132" s="147"/>
      <c r="K132" s="149"/>
    </row>
    <row r="133" spans="2:11" s="17" customFormat="1" x14ac:dyDescent="0.25">
      <c r="B133" s="55"/>
      <c r="C133" s="55"/>
      <c r="F133" s="66"/>
      <c r="G133" s="236"/>
      <c r="I133" s="146"/>
      <c r="J133" s="147"/>
      <c r="K133" s="149"/>
    </row>
    <row r="134" spans="2:11" s="17" customFormat="1" x14ac:dyDescent="0.25">
      <c r="B134" s="55"/>
      <c r="C134" s="55"/>
      <c r="F134" s="66"/>
      <c r="G134" s="236"/>
      <c r="I134" s="146"/>
      <c r="J134" s="147"/>
      <c r="K134" s="149"/>
    </row>
    <row r="135" spans="2:11" s="17" customFormat="1" x14ac:dyDescent="0.25">
      <c r="B135" s="55"/>
      <c r="C135" s="55"/>
      <c r="F135" s="66"/>
      <c r="G135" s="236"/>
      <c r="I135" s="146"/>
      <c r="J135" s="147"/>
      <c r="K135" s="149"/>
    </row>
    <row r="136" spans="2:11" s="17" customFormat="1" x14ac:dyDescent="0.25">
      <c r="B136" s="55"/>
      <c r="C136" s="55"/>
      <c r="F136" s="66"/>
      <c r="G136" s="236"/>
      <c r="I136" s="146"/>
      <c r="J136" s="147"/>
      <c r="K136" s="149"/>
    </row>
    <row r="137" spans="2:11" s="17" customFormat="1" x14ac:dyDescent="0.25">
      <c r="B137" s="55"/>
      <c r="C137" s="55"/>
      <c r="F137" s="66"/>
      <c r="G137" s="236"/>
      <c r="I137" s="146"/>
      <c r="J137" s="147"/>
      <c r="K137" s="149"/>
    </row>
    <row r="138" spans="2:11" s="17" customFormat="1" x14ac:dyDescent="0.25">
      <c r="B138" s="55"/>
      <c r="C138" s="55"/>
      <c r="F138" s="66"/>
      <c r="G138" s="236"/>
      <c r="I138" s="146"/>
      <c r="J138" s="147"/>
      <c r="K138" s="149"/>
    </row>
    <row r="139" spans="2:11" s="17" customFormat="1" x14ac:dyDescent="0.25">
      <c r="B139" s="55"/>
      <c r="C139" s="55"/>
      <c r="F139" s="66"/>
      <c r="G139" s="236"/>
      <c r="I139" s="146"/>
      <c r="J139" s="147"/>
      <c r="K139" s="149"/>
    </row>
    <row r="140" spans="2:11" s="17" customFormat="1" x14ac:dyDescent="0.25">
      <c r="B140" s="55"/>
      <c r="C140" s="55"/>
      <c r="F140" s="66"/>
      <c r="G140" s="236"/>
      <c r="I140" s="146"/>
      <c r="J140" s="147"/>
      <c r="K140" s="149"/>
    </row>
    <row r="141" spans="2:11" s="17" customFormat="1" x14ac:dyDescent="0.25">
      <c r="B141" s="55"/>
      <c r="C141" s="55"/>
      <c r="F141" s="66"/>
      <c r="G141" s="236"/>
      <c r="I141" s="146"/>
      <c r="J141" s="147"/>
      <c r="K141" s="149"/>
    </row>
    <row r="142" spans="2:11" s="17" customFormat="1" x14ac:dyDescent="0.25">
      <c r="B142" s="55"/>
      <c r="C142" s="55"/>
      <c r="F142" s="66"/>
      <c r="G142" s="236"/>
      <c r="I142" s="146"/>
      <c r="J142" s="147"/>
      <c r="K142" s="149"/>
    </row>
    <row r="143" spans="2:11" s="17" customFormat="1" x14ac:dyDescent="0.25">
      <c r="B143" s="55"/>
      <c r="C143" s="55"/>
      <c r="F143" s="66"/>
      <c r="G143" s="236"/>
      <c r="I143" s="146"/>
      <c r="J143" s="147"/>
      <c r="K143" s="149"/>
    </row>
    <row r="144" spans="2:11" s="17" customFormat="1" x14ac:dyDescent="0.25">
      <c r="B144" s="55"/>
      <c r="C144" s="55"/>
      <c r="F144" s="66"/>
      <c r="G144" s="236"/>
      <c r="I144" s="146"/>
      <c r="J144" s="147"/>
      <c r="K144" s="149"/>
    </row>
    <row r="145" spans="2:11" s="17" customFormat="1" x14ac:dyDescent="0.25">
      <c r="B145" s="55"/>
      <c r="C145" s="55"/>
      <c r="F145" s="66"/>
      <c r="G145" s="236"/>
      <c r="I145" s="146"/>
      <c r="J145" s="147"/>
      <c r="K145" s="149"/>
    </row>
    <row r="146" spans="2:11" s="17" customFormat="1" x14ac:dyDescent="0.25">
      <c r="B146" s="55"/>
      <c r="C146" s="55"/>
      <c r="F146" s="66"/>
      <c r="G146" s="236"/>
      <c r="I146" s="146"/>
      <c r="J146" s="147"/>
      <c r="K146" s="149"/>
    </row>
    <row r="147" spans="2:11" s="17" customFormat="1" x14ac:dyDescent="0.25">
      <c r="B147" s="55"/>
      <c r="C147" s="55"/>
      <c r="F147" s="66"/>
      <c r="G147" s="236"/>
      <c r="I147" s="146"/>
      <c r="J147" s="147"/>
      <c r="K147" s="149"/>
    </row>
    <row r="148" spans="2:11" s="17" customFormat="1" x14ac:dyDescent="0.25">
      <c r="B148" s="55"/>
      <c r="C148" s="55"/>
      <c r="F148" s="66"/>
      <c r="G148" s="236"/>
      <c r="I148" s="146"/>
      <c r="J148" s="147"/>
      <c r="K148" s="149"/>
    </row>
    <row r="149" spans="2:11" s="17" customFormat="1" x14ac:dyDescent="0.25">
      <c r="B149" s="55"/>
      <c r="C149" s="55"/>
      <c r="F149" s="66"/>
      <c r="G149" s="236"/>
      <c r="I149" s="146"/>
      <c r="J149" s="147"/>
      <c r="K149" s="149"/>
    </row>
    <row r="150" spans="2:11" s="17" customFormat="1" x14ac:dyDescent="0.25">
      <c r="B150" s="55"/>
      <c r="C150" s="55"/>
      <c r="F150" s="66"/>
      <c r="G150" s="236"/>
      <c r="I150" s="146"/>
      <c r="J150" s="147"/>
      <c r="K150" s="149"/>
    </row>
    <row r="151" spans="2:11" s="17" customFormat="1" x14ac:dyDescent="0.25">
      <c r="B151" s="55"/>
      <c r="C151" s="55"/>
      <c r="F151" s="66"/>
      <c r="G151" s="236"/>
      <c r="I151" s="146"/>
      <c r="J151" s="147"/>
      <c r="K151" s="149"/>
    </row>
    <row r="152" spans="2:11" s="17" customFormat="1" x14ac:dyDescent="0.25">
      <c r="B152" s="55"/>
      <c r="C152" s="55"/>
      <c r="F152" s="66"/>
      <c r="G152" s="236"/>
      <c r="I152" s="146"/>
      <c r="J152" s="147"/>
      <c r="K152" s="149"/>
    </row>
    <row r="153" spans="2:11" s="17" customFormat="1" x14ac:dyDescent="0.25">
      <c r="B153" s="55"/>
      <c r="C153" s="55"/>
      <c r="F153" s="66"/>
      <c r="G153" s="236"/>
      <c r="I153" s="146"/>
      <c r="J153" s="147"/>
      <c r="K153" s="149"/>
    </row>
    <row r="154" spans="2:11" s="17" customFormat="1" x14ac:dyDescent="0.25">
      <c r="B154" s="55"/>
      <c r="C154" s="55"/>
      <c r="F154" s="66"/>
      <c r="G154" s="236"/>
      <c r="I154" s="146"/>
      <c r="J154" s="147"/>
      <c r="K154" s="149"/>
    </row>
    <row r="155" spans="2:11" s="17" customFormat="1" x14ac:dyDescent="0.25">
      <c r="B155" s="55"/>
      <c r="C155" s="55"/>
      <c r="F155" s="66"/>
      <c r="G155" s="236"/>
      <c r="I155" s="146"/>
      <c r="J155" s="147"/>
      <c r="K155" s="149"/>
    </row>
    <row r="156" spans="2:11" s="17" customFormat="1" x14ac:dyDescent="0.25">
      <c r="B156" s="55"/>
      <c r="C156" s="55"/>
      <c r="F156" s="66"/>
      <c r="G156" s="236"/>
      <c r="I156" s="146"/>
      <c r="J156" s="147"/>
      <c r="K156" s="149"/>
    </row>
    <row r="157" spans="2:11" s="17" customFormat="1" x14ac:dyDescent="0.25">
      <c r="B157" s="55"/>
      <c r="C157" s="55"/>
      <c r="F157" s="66"/>
      <c r="G157" s="236"/>
      <c r="I157" s="146"/>
      <c r="J157" s="147"/>
      <c r="K157" s="149"/>
    </row>
    <row r="158" spans="2:11" s="17" customFormat="1" x14ac:dyDescent="0.25">
      <c r="B158" s="55"/>
      <c r="C158" s="55"/>
      <c r="F158" s="66"/>
      <c r="G158" s="236"/>
      <c r="I158" s="146"/>
      <c r="J158" s="147"/>
      <c r="K158" s="149"/>
    </row>
    <row r="159" spans="2:11" s="17" customFormat="1" x14ac:dyDescent="0.25">
      <c r="B159" s="55"/>
      <c r="C159" s="55"/>
      <c r="F159" s="66"/>
      <c r="G159" s="236"/>
      <c r="I159" s="146"/>
      <c r="J159" s="147"/>
      <c r="K159" s="149"/>
    </row>
    <row r="160" spans="2:11" s="17" customFormat="1" x14ac:dyDescent="0.25">
      <c r="B160" s="55"/>
      <c r="C160" s="55"/>
      <c r="F160" s="66"/>
      <c r="G160" s="236"/>
      <c r="I160" s="146"/>
      <c r="J160" s="147"/>
      <c r="K160" s="149"/>
    </row>
    <row r="161" spans="2:11" s="17" customFormat="1" x14ac:dyDescent="0.25">
      <c r="B161" s="55"/>
      <c r="C161" s="55"/>
      <c r="F161" s="66"/>
      <c r="G161" s="236"/>
      <c r="I161" s="146"/>
      <c r="J161" s="147"/>
      <c r="K161" s="149"/>
    </row>
    <row r="162" spans="2:11" s="17" customFormat="1" x14ac:dyDescent="0.25">
      <c r="B162" s="55"/>
      <c r="C162" s="55"/>
      <c r="F162" s="66"/>
      <c r="G162" s="236"/>
      <c r="I162" s="146"/>
      <c r="J162" s="147"/>
      <c r="K162" s="149"/>
    </row>
    <row r="163" spans="2:11" s="17" customFormat="1" x14ac:dyDescent="0.25">
      <c r="B163" s="55"/>
      <c r="C163" s="55"/>
      <c r="F163" s="66"/>
      <c r="G163" s="236"/>
      <c r="I163" s="146"/>
      <c r="J163" s="147"/>
      <c r="K163" s="149"/>
    </row>
    <row r="164" spans="2:11" s="17" customFormat="1" x14ac:dyDescent="0.25">
      <c r="B164" s="55"/>
      <c r="C164" s="55"/>
      <c r="F164" s="66"/>
      <c r="G164" s="236"/>
      <c r="I164" s="146"/>
      <c r="J164" s="147"/>
      <c r="K164" s="149"/>
    </row>
    <row r="165" spans="2:11" s="17" customFormat="1" x14ac:dyDescent="0.25">
      <c r="B165" s="55"/>
      <c r="C165" s="55"/>
      <c r="F165" s="66"/>
      <c r="G165" s="236"/>
      <c r="I165" s="146"/>
      <c r="J165" s="147"/>
      <c r="K165" s="149"/>
    </row>
    <row r="166" spans="2:11" s="17" customFormat="1" x14ac:dyDescent="0.25">
      <c r="B166" s="55"/>
      <c r="C166" s="55"/>
      <c r="F166" s="66"/>
      <c r="G166" s="236"/>
      <c r="I166" s="146"/>
      <c r="J166" s="147"/>
      <c r="K166" s="149"/>
    </row>
    <row r="167" spans="2:11" s="17" customFormat="1" x14ac:dyDescent="0.25">
      <c r="B167" s="55"/>
      <c r="C167" s="55"/>
      <c r="F167" s="66"/>
      <c r="G167" s="236"/>
      <c r="I167" s="146"/>
      <c r="J167" s="147"/>
      <c r="K167" s="149"/>
    </row>
    <row r="168" spans="2:11" s="17" customFormat="1" x14ac:dyDescent="0.25">
      <c r="B168" s="55"/>
      <c r="C168" s="55"/>
      <c r="F168" s="66"/>
      <c r="G168" s="236"/>
      <c r="I168" s="146"/>
      <c r="J168" s="147"/>
      <c r="K168" s="149"/>
    </row>
    <row r="169" spans="2:11" s="17" customFormat="1" x14ac:dyDescent="0.25">
      <c r="B169" s="55"/>
      <c r="C169" s="55"/>
      <c r="F169" s="66"/>
      <c r="G169" s="236"/>
      <c r="I169" s="146"/>
      <c r="J169" s="147"/>
      <c r="K169" s="149"/>
    </row>
    <row r="170" spans="2:11" s="17" customFormat="1" x14ac:dyDescent="0.25">
      <c r="B170" s="55"/>
      <c r="C170" s="55"/>
      <c r="F170" s="66"/>
      <c r="G170" s="236"/>
      <c r="I170" s="146"/>
      <c r="J170" s="147"/>
      <c r="K170" s="149"/>
    </row>
    <row r="171" spans="2:11" s="17" customFormat="1" x14ac:dyDescent="0.25">
      <c r="B171" s="55"/>
      <c r="C171" s="55"/>
      <c r="F171" s="66"/>
      <c r="G171" s="236"/>
      <c r="I171" s="146"/>
      <c r="J171" s="147"/>
      <c r="K171" s="149"/>
    </row>
    <row r="172" spans="2:11" s="17" customFormat="1" x14ac:dyDescent="0.25">
      <c r="B172" s="55"/>
      <c r="C172" s="55"/>
      <c r="F172" s="66"/>
      <c r="G172" s="236"/>
      <c r="I172" s="146"/>
      <c r="J172" s="147"/>
      <c r="K172" s="149"/>
    </row>
    <row r="173" spans="2:11" s="17" customFormat="1" x14ac:dyDescent="0.25">
      <c r="B173" s="55"/>
      <c r="C173" s="55"/>
      <c r="F173" s="66"/>
      <c r="G173" s="236"/>
      <c r="I173" s="146"/>
      <c r="J173" s="147"/>
      <c r="K173" s="149"/>
    </row>
    <row r="174" spans="2:11" s="17" customFormat="1" x14ac:dyDescent="0.25">
      <c r="B174" s="55"/>
      <c r="C174" s="55"/>
      <c r="F174" s="66"/>
      <c r="G174" s="236"/>
      <c r="I174" s="146"/>
      <c r="J174" s="147"/>
      <c r="K174" s="149"/>
    </row>
    <row r="175" spans="2:11" s="17" customFormat="1" x14ac:dyDescent="0.25">
      <c r="B175" s="55"/>
      <c r="C175" s="55"/>
      <c r="F175" s="66"/>
      <c r="G175" s="236"/>
      <c r="I175" s="146"/>
      <c r="J175" s="147"/>
      <c r="K175" s="149"/>
    </row>
    <row r="176" spans="2:11" s="17" customFormat="1" x14ac:dyDescent="0.25">
      <c r="B176" s="55"/>
      <c r="C176" s="55"/>
      <c r="F176" s="66"/>
      <c r="G176" s="236"/>
      <c r="I176" s="146"/>
      <c r="J176" s="147"/>
      <c r="K176" s="149"/>
    </row>
    <row r="177" spans="2:11" s="17" customFormat="1" x14ac:dyDescent="0.25">
      <c r="B177" s="55"/>
      <c r="C177" s="55"/>
      <c r="F177" s="66"/>
      <c r="G177" s="236"/>
      <c r="I177" s="146"/>
      <c r="J177" s="147"/>
      <c r="K177" s="149"/>
    </row>
    <row r="178" spans="2:11" s="17" customFormat="1" x14ac:dyDescent="0.25">
      <c r="B178" s="55"/>
      <c r="C178" s="55"/>
      <c r="F178" s="66"/>
      <c r="G178" s="236"/>
      <c r="I178" s="146"/>
      <c r="J178" s="147"/>
      <c r="K178" s="149"/>
    </row>
    <row r="179" spans="2:11" s="17" customFormat="1" x14ac:dyDescent="0.25">
      <c r="B179" s="55"/>
      <c r="C179" s="55"/>
      <c r="F179" s="66"/>
      <c r="G179" s="236"/>
      <c r="I179" s="146"/>
      <c r="J179" s="147"/>
      <c r="K179" s="149"/>
    </row>
    <row r="180" spans="2:11" s="17" customFormat="1" x14ac:dyDescent="0.25">
      <c r="B180" s="55"/>
      <c r="C180" s="55"/>
      <c r="F180" s="66"/>
      <c r="G180" s="236"/>
      <c r="I180" s="146"/>
      <c r="J180" s="147"/>
      <c r="K180" s="149"/>
    </row>
    <row r="181" spans="2:11" s="17" customFormat="1" x14ac:dyDescent="0.25">
      <c r="B181" s="55"/>
      <c r="C181" s="55"/>
      <c r="F181" s="66"/>
      <c r="G181" s="236"/>
      <c r="I181" s="146"/>
      <c r="J181" s="147"/>
      <c r="K181" s="149"/>
    </row>
    <row r="182" spans="2:11" s="17" customFormat="1" x14ac:dyDescent="0.25">
      <c r="B182" s="55"/>
      <c r="C182" s="55"/>
      <c r="F182" s="66"/>
      <c r="G182" s="236"/>
      <c r="I182" s="146"/>
      <c r="J182" s="147"/>
      <c r="K182" s="149"/>
    </row>
    <row r="183" spans="2:11" s="17" customFormat="1" x14ac:dyDescent="0.25">
      <c r="B183" s="55"/>
      <c r="C183" s="55"/>
      <c r="F183" s="66"/>
      <c r="G183" s="236"/>
      <c r="I183" s="145"/>
      <c r="J183" s="147"/>
      <c r="K183" s="149"/>
    </row>
    <row r="184" spans="2:11" s="17" customFormat="1" x14ac:dyDescent="0.25">
      <c r="B184" s="55"/>
      <c r="C184" s="55"/>
      <c r="F184" s="66"/>
      <c r="G184" s="236"/>
      <c r="I184" s="145"/>
      <c r="J184" s="147"/>
      <c r="K184" s="149"/>
    </row>
    <row r="185" spans="2:11" s="17" customFormat="1" x14ac:dyDescent="0.25">
      <c r="B185" s="55"/>
      <c r="C185" s="55"/>
      <c r="F185" s="66"/>
      <c r="G185" s="236"/>
      <c r="I185" s="145"/>
      <c r="J185" s="147"/>
      <c r="K185" s="149"/>
    </row>
    <row r="186" spans="2:11" s="17" customFormat="1" x14ac:dyDescent="0.25">
      <c r="B186" s="55"/>
      <c r="C186" s="55"/>
      <c r="F186" s="66"/>
      <c r="G186" s="236"/>
      <c r="I186" s="145"/>
      <c r="J186" s="147"/>
      <c r="K186" s="149"/>
    </row>
    <row r="187" spans="2:11" s="17" customFormat="1" x14ac:dyDescent="0.25">
      <c r="B187" s="55"/>
      <c r="C187" s="55"/>
      <c r="F187" s="66"/>
      <c r="G187" s="236"/>
      <c r="I187" s="145"/>
      <c r="J187" s="147"/>
      <c r="K187" s="149"/>
    </row>
    <row r="188" spans="2:11" s="17" customFormat="1" x14ac:dyDescent="0.25">
      <c r="B188" s="55"/>
      <c r="C188" s="55"/>
      <c r="F188" s="66"/>
      <c r="G188" s="236"/>
      <c r="I188" s="145"/>
      <c r="J188" s="147"/>
      <c r="K188" s="149"/>
    </row>
    <row r="189" spans="2:11" s="17" customFormat="1" x14ac:dyDescent="0.25">
      <c r="B189" s="55"/>
      <c r="C189" s="55"/>
      <c r="F189" s="66"/>
      <c r="G189" s="236"/>
      <c r="I189" s="145"/>
      <c r="J189" s="147"/>
      <c r="K189" s="149"/>
    </row>
    <row r="190" spans="2:11" s="17" customFormat="1" x14ac:dyDescent="0.25">
      <c r="B190" s="55"/>
      <c r="C190" s="55"/>
      <c r="F190" s="66"/>
      <c r="G190" s="236"/>
      <c r="I190" s="145"/>
      <c r="J190" s="147"/>
      <c r="K190" s="149"/>
    </row>
    <row r="191" spans="2:11" s="17" customFormat="1" x14ac:dyDescent="0.25">
      <c r="B191" s="55"/>
      <c r="C191" s="55"/>
      <c r="F191" s="66"/>
      <c r="G191" s="236"/>
      <c r="I191" s="145"/>
      <c r="J191" s="147"/>
      <c r="K191" s="149"/>
    </row>
    <row r="192" spans="2:11" s="17" customFormat="1" x14ac:dyDescent="0.25">
      <c r="B192" s="55"/>
      <c r="C192" s="55"/>
      <c r="F192" s="66"/>
      <c r="G192" s="236"/>
      <c r="I192" s="145"/>
      <c r="J192" s="147"/>
      <c r="K192" s="149"/>
    </row>
    <row r="193" spans="2:11" s="17" customFormat="1" x14ac:dyDescent="0.25">
      <c r="B193" s="55"/>
      <c r="C193" s="55"/>
      <c r="F193" s="66"/>
      <c r="G193" s="236"/>
      <c r="I193" s="145"/>
      <c r="J193" s="147"/>
      <c r="K193" s="149"/>
    </row>
    <row r="194" spans="2:11" s="17" customFormat="1" x14ac:dyDescent="0.25">
      <c r="B194" s="55"/>
      <c r="C194" s="55"/>
      <c r="F194" s="66"/>
      <c r="G194" s="236"/>
      <c r="I194" s="145"/>
      <c r="J194" s="147"/>
      <c r="K194" s="149"/>
    </row>
    <row r="195" spans="2:11" s="17" customFormat="1" x14ac:dyDescent="0.25">
      <c r="B195" s="55"/>
      <c r="C195" s="55"/>
      <c r="F195" s="66"/>
      <c r="G195" s="236"/>
      <c r="I195" s="145"/>
      <c r="J195" s="147"/>
      <c r="K195" s="149"/>
    </row>
    <row r="196" spans="2:11" s="17" customFormat="1" x14ac:dyDescent="0.25">
      <c r="B196" s="55"/>
      <c r="C196" s="55"/>
      <c r="F196" s="66"/>
      <c r="G196" s="236"/>
      <c r="I196" s="145"/>
      <c r="J196" s="147"/>
      <c r="K196" s="149"/>
    </row>
    <row r="197" spans="2:11" s="17" customFormat="1" x14ac:dyDescent="0.25">
      <c r="B197" s="55"/>
      <c r="C197" s="55"/>
      <c r="F197" s="66"/>
      <c r="G197" s="236"/>
      <c r="I197" s="145"/>
      <c r="J197" s="147"/>
      <c r="K197" s="149"/>
    </row>
    <row r="198" spans="2:11" s="17" customFormat="1" x14ac:dyDescent="0.25">
      <c r="B198" s="55"/>
      <c r="C198" s="55"/>
      <c r="F198" s="66"/>
      <c r="G198" s="236"/>
      <c r="I198" s="145"/>
      <c r="J198" s="147"/>
      <c r="K198" s="149"/>
    </row>
    <row r="199" spans="2:11" s="17" customFormat="1" x14ac:dyDescent="0.25">
      <c r="B199" s="55"/>
      <c r="C199" s="55"/>
      <c r="F199" s="66"/>
      <c r="G199" s="236"/>
      <c r="I199" s="145"/>
      <c r="J199" s="147"/>
      <c r="K199" s="149"/>
    </row>
    <row r="200" spans="2:11" s="17" customFormat="1" x14ac:dyDescent="0.25">
      <c r="B200" s="55"/>
      <c r="C200" s="55"/>
      <c r="F200" s="66"/>
      <c r="G200" s="236"/>
      <c r="I200" s="145"/>
      <c r="J200" s="147"/>
      <c r="K200" s="149"/>
    </row>
    <row r="201" spans="2:11" s="17" customFormat="1" x14ac:dyDescent="0.25">
      <c r="B201" s="55"/>
      <c r="C201" s="55"/>
      <c r="F201" s="66"/>
      <c r="G201" s="236"/>
      <c r="I201" s="145"/>
      <c r="J201" s="147"/>
      <c r="K201" s="149"/>
    </row>
    <row r="202" spans="2:11" s="17" customFormat="1" x14ac:dyDescent="0.25">
      <c r="B202" s="55"/>
      <c r="C202" s="55"/>
      <c r="F202" s="66"/>
      <c r="G202" s="236"/>
      <c r="I202" s="145"/>
      <c r="J202" s="147"/>
      <c r="K202" s="149"/>
    </row>
    <row r="203" spans="2:11" s="17" customFormat="1" x14ac:dyDescent="0.25">
      <c r="B203" s="55"/>
      <c r="C203" s="55"/>
      <c r="F203" s="66"/>
      <c r="G203" s="236"/>
      <c r="I203" s="145"/>
      <c r="J203" s="147"/>
      <c r="K203" s="149"/>
    </row>
    <row r="204" spans="2:11" s="17" customFormat="1" x14ac:dyDescent="0.25">
      <c r="B204" s="55"/>
      <c r="C204" s="55"/>
      <c r="F204" s="66"/>
      <c r="G204" s="236"/>
      <c r="I204" s="145"/>
      <c r="J204" s="147"/>
      <c r="K204" s="149"/>
    </row>
    <row r="205" spans="2:11" s="17" customFormat="1" x14ac:dyDescent="0.25">
      <c r="B205" s="55"/>
      <c r="C205" s="55"/>
      <c r="F205" s="66"/>
      <c r="G205" s="236"/>
      <c r="I205" s="145"/>
      <c r="J205" s="147"/>
      <c r="K205" s="149"/>
    </row>
    <row r="206" spans="2:11" s="17" customFormat="1" x14ac:dyDescent="0.25">
      <c r="B206" s="55"/>
      <c r="C206" s="55"/>
      <c r="F206" s="66"/>
      <c r="G206" s="236"/>
      <c r="I206" s="145"/>
      <c r="J206" s="147"/>
      <c r="K206" s="149"/>
    </row>
    <row r="207" spans="2:11" s="17" customFormat="1" x14ac:dyDescent="0.25">
      <c r="B207" s="55"/>
      <c r="C207" s="55"/>
      <c r="F207" s="66"/>
      <c r="G207" s="236"/>
      <c r="I207" s="145"/>
      <c r="J207" s="147"/>
      <c r="K207" s="149"/>
    </row>
    <row r="208" spans="2:11" s="17" customFormat="1" x14ac:dyDescent="0.25">
      <c r="B208" s="55"/>
      <c r="C208" s="55"/>
      <c r="F208" s="66"/>
      <c r="G208" s="236"/>
      <c r="I208" s="145"/>
      <c r="J208" s="147"/>
      <c r="K208" s="149"/>
    </row>
    <row r="209" spans="2:11" s="17" customFormat="1" x14ac:dyDescent="0.25">
      <c r="B209" s="55"/>
      <c r="C209" s="55"/>
      <c r="F209" s="66"/>
      <c r="G209" s="236"/>
      <c r="I209" s="145"/>
      <c r="J209" s="147"/>
      <c r="K209" s="149"/>
    </row>
    <row r="210" spans="2:11" s="17" customFormat="1" x14ac:dyDescent="0.25">
      <c r="B210" s="55"/>
      <c r="C210" s="55"/>
      <c r="F210" s="66"/>
      <c r="G210" s="236"/>
      <c r="I210" s="145"/>
      <c r="J210" s="147"/>
      <c r="K210" s="149"/>
    </row>
    <row r="211" spans="2:11" s="17" customFormat="1" x14ac:dyDescent="0.25">
      <c r="B211" s="55"/>
      <c r="C211" s="55"/>
      <c r="F211" s="66"/>
      <c r="G211" s="236"/>
      <c r="I211" s="145"/>
      <c r="J211" s="147"/>
      <c r="K211" s="149"/>
    </row>
    <row r="212" spans="2:11" s="17" customFormat="1" x14ac:dyDescent="0.25">
      <c r="B212" s="55"/>
      <c r="C212" s="55"/>
      <c r="F212" s="66"/>
      <c r="G212" s="236"/>
      <c r="I212" s="145"/>
      <c r="J212" s="147"/>
      <c r="K212" s="149"/>
    </row>
    <row r="213" spans="2:11" s="17" customFormat="1" x14ac:dyDescent="0.25">
      <c r="B213" s="55"/>
      <c r="C213" s="55"/>
      <c r="F213" s="66"/>
      <c r="G213" s="236"/>
      <c r="I213" s="145"/>
      <c r="J213" s="147"/>
      <c r="K213" s="149"/>
    </row>
    <row r="214" spans="2:11" s="17" customFormat="1" x14ac:dyDescent="0.25">
      <c r="B214" s="55"/>
      <c r="C214" s="55"/>
      <c r="F214" s="66"/>
      <c r="G214" s="236"/>
      <c r="I214" s="145"/>
      <c r="J214" s="147"/>
      <c r="K214" s="149"/>
    </row>
    <row r="215" spans="2:11" s="17" customFormat="1" x14ac:dyDescent="0.25">
      <c r="B215" s="55"/>
      <c r="C215" s="55"/>
      <c r="F215" s="66"/>
      <c r="G215" s="236"/>
      <c r="I215" s="145"/>
      <c r="J215" s="147"/>
      <c r="K215" s="149"/>
    </row>
    <row r="216" spans="2:11" s="17" customFormat="1" x14ac:dyDescent="0.25">
      <c r="B216" s="55"/>
      <c r="C216" s="55"/>
      <c r="F216" s="66"/>
      <c r="G216" s="236"/>
      <c r="I216" s="145"/>
      <c r="J216" s="147"/>
      <c r="K216" s="149"/>
    </row>
    <row r="217" spans="2:11" s="17" customFormat="1" x14ac:dyDescent="0.25">
      <c r="B217" s="55"/>
      <c r="C217" s="55"/>
      <c r="F217" s="66"/>
      <c r="G217" s="236"/>
      <c r="I217" s="145"/>
      <c r="J217" s="147"/>
      <c r="K217" s="149"/>
    </row>
    <row r="218" spans="2:11" s="17" customFormat="1" x14ac:dyDescent="0.25">
      <c r="B218" s="55"/>
      <c r="C218" s="55"/>
      <c r="F218" s="66"/>
      <c r="G218" s="236"/>
      <c r="I218" s="145"/>
      <c r="J218" s="147"/>
      <c r="K218" s="149"/>
    </row>
    <row r="219" spans="2:11" s="17" customFormat="1" x14ac:dyDescent="0.25">
      <c r="B219" s="55"/>
      <c r="C219" s="55"/>
      <c r="F219" s="66"/>
      <c r="G219" s="236"/>
      <c r="I219" s="145"/>
      <c r="J219" s="147"/>
      <c r="K219" s="149"/>
    </row>
    <row r="220" spans="2:11" s="17" customFormat="1" x14ac:dyDescent="0.25">
      <c r="B220" s="55"/>
      <c r="C220" s="55"/>
      <c r="F220" s="66"/>
      <c r="G220" s="236"/>
      <c r="I220" s="145"/>
      <c r="J220" s="147"/>
      <c r="K220" s="149"/>
    </row>
    <row r="221" spans="2:11" s="17" customFormat="1" x14ac:dyDescent="0.25">
      <c r="B221" s="55"/>
      <c r="C221" s="55"/>
      <c r="F221" s="66"/>
      <c r="G221" s="236"/>
      <c r="I221" s="145"/>
      <c r="J221" s="147"/>
      <c r="K221" s="149"/>
    </row>
    <row r="222" spans="2:11" s="17" customFormat="1" x14ac:dyDescent="0.25">
      <c r="B222" s="55"/>
      <c r="C222" s="55"/>
      <c r="F222" s="66"/>
      <c r="G222" s="236"/>
      <c r="I222" s="145"/>
      <c r="J222" s="147"/>
      <c r="K222" s="149"/>
    </row>
    <row r="223" spans="2:11" s="17" customFormat="1" x14ac:dyDescent="0.25">
      <c r="B223" s="55"/>
      <c r="C223" s="55"/>
      <c r="F223" s="66"/>
      <c r="G223" s="236"/>
      <c r="I223" s="145"/>
      <c r="J223" s="147"/>
      <c r="K223" s="149"/>
    </row>
    <row r="224" spans="2:11" s="17" customFormat="1" x14ac:dyDescent="0.25">
      <c r="B224" s="55"/>
      <c r="C224" s="55"/>
      <c r="F224" s="66"/>
      <c r="G224" s="236"/>
      <c r="I224" s="145"/>
      <c r="J224" s="147"/>
      <c r="K224" s="149"/>
    </row>
    <row r="225" spans="2:11" s="17" customFormat="1" x14ac:dyDescent="0.25">
      <c r="B225" s="55"/>
      <c r="C225" s="55"/>
      <c r="F225" s="66"/>
      <c r="G225" s="236"/>
      <c r="I225" s="145"/>
      <c r="J225" s="147"/>
      <c r="K225" s="149"/>
    </row>
    <row r="226" spans="2:11" s="17" customFormat="1" x14ac:dyDescent="0.25">
      <c r="B226" s="55"/>
      <c r="C226" s="55"/>
      <c r="F226" s="66"/>
      <c r="G226" s="236"/>
      <c r="I226" s="145"/>
      <c r="J226" s="147"/>
      <c r="K226" s="149"/>
    </row>
    <row r="227" spans="2:11" s="17" customFormat="1" x14ac:dyDescent="0.25">
      <c r="B227" s="55"/>
      <c r="C227" s="55"/>
      <c r="F227" s="66"/>
      <c r="G227" s="236"/>
      <c r="I227" s="145"/>
      <c r="J227" s="147"/>
      <c r="K227" s="149"/>
    </row>
    <row r="228" spans="2:11" s="17" customFormat="1" x14ac:dyDescent="0.25">
      <c r="B228" s="55"/>
      <c r="C228" s="55"/>
      <c r="F228" s="66"/>
      <c r="G228" s="236"/>
      <c r="I228" s="145"/>
      <c r="J228" s="147"/>
      <c r="K228" s="149"/>
    </row>
    <row r="229" spans="2:11" s="17" customFormat="1" x14ac:dyDescent="0.25">
      <c r="B229" s="55"/>
      <c r="C229" s="55"/>
      <c r="F229" s="66"/>
      <c r="G229" s="236"/>
      <c r="I229" s="145"/>
      <c r="J229" s="147"/>
      <c r="K229" s="149"/>
    </row>
    <row r="230" spans="2:11" s="17" customFormat="1" x14ac:dyDescent="0.25">
      <c r="B230" s="55"/>
      <c r="C230" s="55"/>
      <c r="F230" s="66"/>
      <c r="G230" s="236"/>
      <c r="I230" s="145"/>
      <c r="J230" s="147"/>
      <c r="K230" s="149"/>
    </row>
    <row r="231" spans="2:11" s="17" customFormat="1" x14ac:dyDescent="0.25">
      <c r="B231" s="55"/>
      <c r="C231" s="55"/>
      <c r="F231" s="66"/>
      <c r="G231" s="236"/>
      <c r="I231" s="145"/>
      <c r="J231" s="147"/>
      <c r="K231" s="149"/>
    </row>
    <row r="232" spans="2:11" s="17" customFormat="1" x14ac:dyDescent="0.25">
      <c r="B232" s="55"/>
      <c r="C232" s="55"/>
      <c r="F232" s="66"/>
      <c r="G232" s="236"/>
      <c r="I232" s="145"/>
      <c r="J232" s="147"/>
      <c r="K232" s="149"/>
    </row>
    <row r="233" spans="2:11" s="17" customFormat="1" x14ac:dyDescent="0.25">
      <c r="B233" s="55"/>
      <c r="C233" s="55"/>
      <c r="F233" s="66"/>
      <c r="G233" s="236"/>
      <c r="I233" s="145"/>
      <c r="J233" s="147"/>
      <c r="K233" s="149"/>
    </row>
    <row r="234" spans="2:11" s="17" customFormat="1" x14ac:dyDescent="0.25">
      <c r="B234" s="55"/>
      <c r="C234" s="55"/>
      <c r="F234" s="66"/>
      <c r="G234" s="236"/>
      <c r="I234" s="145"/>
      <c r="J234" s="147"/>
      <c r="K234" s="149"/>
    </row>
    <row r="235" spans="2:11" s="17" customFormat="1" x14ac:dyDescent="0.25">
      <c r="B235" s="55"/>
      <c r="C235" s="55"/>
      <c r="F235" s="66"/>
      <c r="G235" s="236"/>
      <c r="I235" s="145"/>
      <c r="J235" s="147"/>
      <c r="K235" s="149"/>
    </row>
    <row r="236" spans="2:11" s="17" customFormat="1" x14ac:dyDescent="0.25">
      <c r="B236" s="55"/>
      <c r="C236" s="55"/>
      <c r="F236" s="66"/>
      <c r="G236" s="236"/>
      <c r="I236" s="145"/>
      <c r="J236" s="147"/>
      <c r="K236" s="149"/>
    </row>
    <row r="237" spans="2:11" s="17" customFormat="1" x14ac:dyDescent="0.25">
      <c r="B237" s="55"/>
      <c r="C237" s="55"/>
      <c r="F237" s="66"/>
      <c r="G237" s="236"/>
      <c r="I237" s="145"/>
      <c r="J237" s="147"/>
      <c r="K237" s="149"/>
    </row>
    <row r="238" spans="2:11" s="17" customFormat="1" x14ac:dyDescent="0.25">
      <c r="B238" s="55"/>
      <c r="C238" s="55"/>
      <c r="F238" s="66"/>
      <c r="G238" s="236"/>
      <c r="I238" s="145"/>
      <c r="J238" s="147"/>
      <c r="K238" s="149"/>
    </row>
    <row r="239" spans="2:11" s="17" customFormat="1" x14ac:dyDescent="0.25">
      <c r="B239" s="55"/>
      <c r="C239" s="55"/>
      <c r="F239" s="66"/>
      <c r="G239" s="236"/>
      <c r="I239" s="145"/>
      <c r="J239" s="147"/>
      <c r="K239" s="149"/>
    </row>
    <row r="240" spans="2:11" s="17" customFormat="1" x14ac:dyDescent="0.25">
      <c r="B240" s="55"/>
      <c r="C240" s="55"/>
      <c r="F240" s="66"/>
      <c r="G240" s="236"/>
      <c r="I240" s="145"/>
      <c r="J240" s="147"/>
      <c r="K240" s="149"/>
    </row>
    <row r="241" spans="2:11" s="17" customFormat="1" x14ac:dyDescent="0.25">
      <c r="B241" s="55"/>
      <c r="C241" s="55"/>
      <c r="F241" s="66"/>
      <c r="G241" s="236"/>
      <c r="I241" s="145"/>
      <c r="J241" s="147"/>
      <c r="K241" s="149"/>
    </row>
    <row r="242" spans="2:11" s="17" customFormat="1" x14ac:dyDescent="0.25">
      <c r="B242" s="55"/>
      <c r="C242" s="55"/>
      <c r="F242" s="66"/>
      <c r="G242" s="236"/>
      <c r="I242" s="145"/>
      <c r="J242" s="147"/>
      <c r="K242" s="149"/>
    </row>
    <row r="243" spans="2:11" s="17" customFormat="1" x14ac:dyDescent="0.25">
      <c r="B243" s="55"/>
      <c r="C243" s="55"/>
      <c r="F243" s="66"/>
      <c r="G243" s="236"/>
      <c r="I243" s="145"/>
      <c r="J243" s="147"/>
      <c r="K243" s="149"/>
    </row>
    <row r="244" spans="2:11" s="17" customFormat="1" x14ac:dyDescent="0.25">
      <c r="B244" s="55"/>
      <c r="C244" s="55"/>
      <c r="F244" s="66"/>
      <c r="G244" s="236"/>
      <c r="I244" s="145"/>
      <c r="J244" s="147"/>
      <c r="K244" s="149"/>
    </row>
    <row r="245" spans="2:11" s="17" customFormat="1" x14ac:dyDescent="0.25">
      <c r="B245" s="55"/>
      <c r="C245" s="55"/>
      <c r="F245" s="66"/>
      <c r="G245" s="236"/>
      <c r="I245" s="145"/>
      <c r="J245" s="147"/>
      <c r="K245" s="149"/>
    </row>
    <row r="246" spans="2:11" s="17" customFormat="1" x14ac:dyDescent="0.25">
      <c r="B246" s="55"/>
      <c r="C246" s="55"/>
      <c r="F246" s="66"/>
      <c r="G246" s="236"/>
      <c r="I246" s="145"/>
      <c r="J246" s="147"/>
      <c r="K246" s="149"/>
    </row>
    <row r="247" spans="2:11" s="17" customFormat="1" x14ac:dyDescent="0.25">
      <c r="B247" s="55"/>
      <c r="C247" s="55"/>
      <c r="F247" s="66"/>
      <c r="G247" s="236"/>
      <c r="I247" s="145"/>
      <c r="J247" s="147"/>
      <c r="K247" s="149"/>
    </row>
    <row r="248" spans="2:11" s="17" customFormat="1" x14ac:dyDescent="0.25">
      <c r="B248" s="55"/>
      <c r="C248" s="55"/>
      <c r="F248" s="66"/>
      <c r="G248" s="236"/>
      <c r="I248" s="145"/>
      <c r="J248" s="147"/>
      <c r="K248" s="149"/>
    </row>
    <row r="249" spans="2:11" s="17" customFormat="1" x14ac:dyDescent="0.25">
      <c r="B249" s="55"/>
      <c r="C249" s="55"/>
      <c r="F249" s="66"/>
      <c r="G249" s="236"/>
      <c r="I249" s="145"/>
      <c r="J249" s="147"/>
      <c r="K249" s="149"/>
    </row>
    <row r="250" spans="2:11" s="17" customFormat="1" x14ac:dyDescent="0.25">
      <c r="B250" s="55"/>
      <c r="C250" s="55"/>
      <c r="F250" s="66"/>
      <c r="G250" s="236"/>
      <c r="I250" s="145"/>
      <c r="J250" s="147"/>
      <c r="K250" s="149"/>
    </row>
    <row r="251" spans="2:11" s="17" customFormat="1" x14ac:dyDescent="0.25">
      <c r="B251" s="55"/>
      <c r="C251" s="55"/>
      <c r="F251" s="66"/>
      <c r="G251" s="236"/>
      <c r="I251" s="145"/>
      <c r="J251" s="147"/>
      <c r="K251" s="149"/>
    </row>
    <row r="252" spans="2:11" s="17" customFormat="1" x14ac:dyDescent="0.25">
      <c r="B252" s="55"/>
      <c r="C252" s="55"/>
      <c r="F252" s="66"/>
      <c r="G252" s="236"/>
      <c r="I252" s="145"/>
      <c r="J252" s="147"/>
      <c r="K252" s="149"/>
    </row>
    <row r="253" spans="2:11" s="17" customFormat="1" x14ac:dyDescent="0.25">
      <c r="B253" s="55"/>
      <c r="C253" s="55"/>
      <c r="F253" s="66"/>
      <c r="G253" s="236"/>
      <c r="I253" s="145"/>
      <c r="J253" s="147"/>
      <c r="K253" s="149"/>
    </row>
    <row r="254" spans="2:11" s="17" customFormat="1" x14ac:dyDescent="0.25">
      <c r="B254" s="55"/>
      <c r="C254" s="55"/>
      <c r="F254" s="66"/>
      <c r="G254" s="236"/>
      <c r="I254" s="145"/>
      <c r="J254" s="147"/>
      <c r="K254" s="149"/>
    </row>
    <row r="255" spans="2:11" s="17" customFormat="1" x14ac:dyDescent="0.25">
      <c r="B255" s="55"/>
      <c r="C255" s="55"/>
      <c r="F255" s="66"/>
      <c r="G255" s="236"/>
      <c r="I255" s="145"/>
      <c r="J255" s="147"/>
      <c r="K255" s="149"/>
    </row>
    <row r="256" spans="2:11" s="17" customFormat="1" x14ac:dyDescent="0.25">
      <c r="B256" s="55"/>
      <c r="C256" s="55"/>
      <c r="F256" s="66"/>
      <c r="G256" s="236"/>
      <c r="I256" s="145"/>
      <c r="J256" s="147"/>
      <c r="K256" s="149"/>
    </row>
    <row r="257" spans="2:11" s="17" customFormat="1" x14ac:dyDescent="0.25">
      <c r="B257" s="55"/>
      <c r="C257" s="55"/>
      <c r="F257" s="66"/>
      <c r="G257" s="236"/>
      <c r="I257" s="145"/>
      <c r="J257" s="147"/>
      <c r="K257" s="149"/>
    </row>
    <row r="258" spans="2:11" s="17" customFormat="1" x14ac:dyDescent="0.25">
      <c r="B258" s="55"/>
      <c r="C258" s="55"/>
      <c r="F258" s="66"/>
      <c r="G258" s="236"/>
      <c r="I258" s="145"/>
      <c r="J258" s="147"/>
      <c r="K258" s="149"/>
    </row>
    <row r="259" spans="2:11" s="17" customFormat="1" x14ac:dyDescent="0.25">
      <c r="B259" s="55"/>
      <c r="C259" s="55"/>
      <c r="F259" s="66"/>
      <c r="G259" s="236"/>
      <c r="I259" s="145"/>
      <c r="J259" s="147"/>
      <c r="K259" s="149"/>
    </row>
    <row r="260" spans="2:11" s="17" customFormat="1" x14ac:dyDescent="0.25">
      <c r="B260" s="55"/>
      <c r="C260" s="55"/>
      <c r="F260" s="66"/>
      <c r="G260" s="236"/>
      <c r="I260" s="145"/>
      <c r="J260" s="147"/>
      <c r="K260" s="149"/>
    </row>
    <row r="261" spans="2:11" s="17" customFormat="1" x14ac:dyDescent="0.25">
      <c r="B261" s="55"/>
      <c r="C261" s="55"/>
      <c r="F261" s="66"/>
      <c r="G261" s="236"/>
      <c r="I261" s="145"/>
      <c r="J261" s="147"/>
      <c r="K261" s="149"/>
    </row>
    <row r="262" spans="2:11" s="17" customFormat="1" x14ac:dyDescent="0.25">
      <c r="B262" s="55"/>
      <c r="C262" s="55"/>
      <c r="F262" s="66"/>
      <c r="G262" s="236"/>
      <c r="I262" s="145"/>
      <c r="J262" s="147"/>
      <c r="K262" s="149"/>
    </row>
    <row r="263" spans="2:11" s="17" customFormat="1" x14ac:dyDescent="0.25">
      <c r="B263" s="55"/>
      <c r="C263" s="55"/>
      <c r="F263" s="66"/>
      <c r="G263" s="236"/>
      <c r="I263" s="145"/>
      <c r="J263" s="147"/>
      <c r="K263" s="149"/>
    </row>
    <row r="264" spans="2:11" s="17" customFormat="1" x14ac:dyDescent="0.25">
      <c r="B264" s="55"/>
      <c r="C264" s="55"/>
      <c r="F264" s="66"/>
      <c r="G264" s="236"/>
      <c r="I264" s="145"/>
      <c r="J264" s="147"/>
      <c r="K264" s="149"/>
    </row>
    <row r="265" spans="2:11" s="17" customFormat="1" x14ac:dyDescent="0.25">
      <c r="B265" s="55"/>
      <c r="C265" s="55"/>
      <c r="F265" s="66"/>
      <c r="G265" s="236"/>
      <c r="I265" s="145"/>
      <c r="J265" s="147"/>
      <c r="K265" s="149"/>
    </row>
    <row r="266" spans="2:11" s="17" customFormat="1" x14ac:dyDescent="0.25">
      <c r="B266" s="55"/>
      <c r="C266" s="55"/>
      <c r="F266" s="66"/>
      <c r="G266" s="236"/>
      <c r="I266" s="145"/>
      <c r="J266" s="147"/>
      <c r="K266" s="149"/>
    </row>
    <row r="267" spans="2:11" s="17" customFormat="1" x14ac:dyDescent="0.25">
      <c r="B267" s="55"/>
      <c r="C267" s="55"/>
      <c r="F267" s="66"/>
      <c r="G267" s="236"/>
      <c r="I267" s="145"/>
      <c r="J267" s="147"/>
      <c r="K267" s="149"/>
    </row>
    <row r="268" spans="2:11" s="17" customFormat="1" x14ac:dyDescent="0.25">
      <c r="B268" s="55"/>
      <c r="C268" s="55"/>
      <c r="F268" s="66"/>
      <c r="G268" s="236"/>
      <c r="I268" s="145"/>
      <c r="J268" s="147"/>
      <c r="K268" s="149"/>
    </row>
    <row r="269" spans="2:11" s="17" customFormat="1" x14ac:dyDescent="0.25">
      <c r="B269" s="55"/>
      <c r="C269" s="55"/>
      <c r="F269" s="66"/>
      <c r="G269" s="236"/>
      <c r="I269" s="145"/>
      <c r="J269" s="147"/>
      <c r="K269" s="149"/>
    </row>
    <row r="270" spans="2:11" s="17" customFormat="1" x14ac:dyDescent="0.25">
      <c r="B270" s="55"/>
      <c r="C270" s="55"/>
      <c r="F270" s="66"/>
      <c r="G270" s="236"/>
      <c r="I270" s="145"/>
      <c r="J270" s="147"/>
      <c r="K270" s="149"/>
    </row>
    <row r="271" spans="2:11" s="17" customFormat="1" x14ac:dyDescent="0.25">
      <c r="B271" s="55"/>
      <c r="C271" s="55"/>
      <c r="F271" s="66"/>
      <c r="G271" s="236"/>
      <c r="I271" s="145"/>
      <c r="J271" s="147"/>
      <c r="K271" s="149"/>
    </row>
    <row r="272" spans="2:11" s="17" customFormat="1" x14ac:dyDescent="0.25">
      <c r="B272" s="55"/>
      <c r="C272" s="55"/>
      <c r="F272" s="66"/>
      <c r="G272" s="236"/>
      <c r="I272" s="145"/>
      <c r="J272" s="147"/>
      <c r="K272" s="149"/>
    </row>
    <row r="273" spans="2:11" s="17" customFormat="1" x14ac:dyDescent="0.25">
      <c r="B273" s="55"/>
      <c r="C273" s="55"/>
      <c r="F273" s="66"/>
      <c r="G273" s="236"/>
      <c r="I273" s="145"/>
      <c r="J273" s="147"/>
      <c r="K273" s="149"/>
    </row>
    <row r="274" spans="2:11" s="17" customFormat="1" x14ac:dyDescent="0.25">
      <c r="B274" s="55"/>
      <c r="C274" s="55"/>
      <c r="F274" s="66"/>
      <c r="G274" s="236"/>
      <c r="I274" s="145"/>
      <c r="J274" s="148"/>
      <c r="K274" s="149"/>
    </row>
    <row r="275" spans="2:11" s="17" customFormat="1" x14ac:dyDescent="0.25">
      <c r="B275" s="55"/>
      <c r="C275" s="55"/>
      <c r="F275" s="66"/>
      <c r="G275" s="236"/>
      <c r="I275" s="145"/>
      <c r="J275" s="148"/>
      <c r="K275" s="149"/>
    </row>
    <row r="276" spans="2:11" s="17" customFormat="1" x14ac:dyDescent="0.25">
      <c r="B276" s="55"/>
      <c r="C276" s="55"/>
      <c r="F276" s="66"/>
      <c r="G276" s="236"/>
      <c r="I276" s="145"/>
      <c r="J276" s="148"/>
      <c r="K276" s="149"/>
    </row>
    <row r="277" spans="2:11" s="17" customFormat="1" x14ac:dyDescent="0.25">
      <c r="B277" s="55"/>
      <c r="C277" s="55"/>
      <c r="F277" s="66"/>
      <c r="G277" s="236"/>
      <c r="I277" s="145"/>
      <c r="J277" s="148"/>
      <c r="K277" s="149"/>
    </row>
    <row r="278" spans="2:11" s="17" customFormat="1" x14ac:dyDescent="0.25">
      <c r="B278" s="55"/>
      <c r="C278" s="55"/>
      <c r="F278" s="66"/>
      <c r="G278" s="236"/>
      <c r="I278" s="145"/>
      <c r="J278" s="148"/>
      <c r="K278" s="149"/>
    </row>
    <row r="279" spans="2:11" s="17" customFormat="1" x14ac:dyDescent="0.25">
      <c r="B279" s="55"/>
      <c r="C279" s="55"/>
      <c r="F279" s="66"/>
      <c r="G279" s="236"/>
      <c r="I279" s="145"/>
      <c r="J279" s="148"/>
      <c r="K279" s="149"/>
    </row>
    <row r="280" spans="2:11" s="17" customFormat="1" x14ac:dyDescent="0.25">
      <c r="B280" s="55"/>
      <c r="C280" s="55"/>
      <c r="F280" s="66"/>
      <c r="G280" s="236"/>
      <c r="I280" s="145"/>
      <c r="J280" s="148"/>
      <c r="K280" s="149"/>
    </row>
    <row r="281" spans="2:11" s="17" customFormat="1" x14ac:dyDescent="0.25">
      <c r="B281" s="55"/>
      <c r="C281" s="55"/>
      <c r="F281" s="66"/>
      <c r="G281" s="236"/>
      <c r="I281" s="145"/>
      <c r="J281" s="148"/>
      <c r="K281" s="149"/>
    </row>
    <row r="282" spans="2:11" s="17" customFormat="1" x14ac:dyDescent="0.25">
      <c r="B282" s="55"/>
      <c r="C282" s="55"/>
      <c r="F282" s="66"/>
      <c r="G282" s="236"/>
      <c r="I282" s="145"/>
      <c r="J282" s="148"/>
      <c r="K282" s="149"/>
    </row>
    <row r="283" spans="2:11" s="17" customFormat="1" x14ac:dyDescent="0.25">
      <c r="B283" s="55"/>
      <c r="C283" s="55"/>
      <c r="F283" s="66"/>
      <c r="G283" s="236"/>
      <c r="I283" s="145"/>
      <c r="J283" s="148"/>
      <c r="K283" s="149"/>
    </row>
    <row r="284" spans="2:11" s="17" customFormat="1" x14ac:dyDescent="0.25">
      <c r="B284" s="55"/>
      <c r="C284" s="55"/>
      <c r="F284" s="66"/>
      <c r="G284" s="236"/>
      <c r="I284" s="145"/>
      <c r="J284" s="148"/>
      <c r="K284" s="149"/>
    </row>
    <row r="285" spans="2:11" s="17" customFormat="1" x14ac:dyDescent="0.25">
      <c r="B285" s="55"/>
      <c r="C285" s="55"/>
      <c r="F285" s="66"/>
      <c r="G285" s="236"/>
      <c r="I285" s="145"/>
      <c r="J285" s="148"/>
      <c r="K285" s="149"/>
    </row>
    <row r="286" spans="2:11" s="17" customFormat="1" x14ac:dyDescent="0.25">
      <c r="B286" s="55"/>
      <c r="C286" s="55"/>
      <c r="F286" s="66"/>
      <c r="G286" s="236"/>
      <c r="I286" s="145"/>
      <c r="J286" s="148"/>
      <c r="K286" s="149"/>
    </row>
    <row r="287" spans="2:11" s="17" customFormat="1" x14ac:dyDescent="0.25">
      <c r="B287" s="55"/>
      <c r="C287" s="55"/>
      <c r="F287" s="66"/>
      <c r="G287" s="236"/>
      <c r="I287" s="145"/>
      <c r="J287" s="148"/>
      <c r="K287" s="149"/>
    </row>
    <row r="288" spans="2:11" s="17" customFormat="1" x14ac:dyDescent="0.25">
      <c r="B288" s="55"/>
      <c r="C288" s="55"/>
      <c r="F288" s="66"/>
      <c r="G288" s="236"/>
      <c r="I288" s="145"/>
      <c r="J288" s="148"/>
      <c r="K288" s="149"/>
    </row>
    <row r="289" spans="2:11" s="17" customFormat="1" x14ac:dyDescent="0.25">
      <c r="B289" s="55"/>
      <c r="C289" s="55"/>
      <c r="F289" s="66"/>
      <c r="G289" s="236"/>
      <c r="I289" s="145"/>
      <c r="J289" s="148"/>
      <c r="K289" s="149"/>
    </row>
    <row r="290" spans="2:11" s="17" customFormat="1" x14ac:dyDescent="0.25">
      <c r="B290" s="55"/>
      <c r="C290" s="55"/>
      <c r="F290" s="66"/>
      <c r="G290" s="236"/>
      <c r="I290" s="145"/>
      <c r="J290" s="148"/>
      <c r="K290" s="149"/>
    </row>
    <row r="291" spans="2:11" s="17" customFormat="1" x14ac:dyDescent="0.25">
      <c r="B291" s="55"/>
      <c r="C291" s="55"/>
      <c r="F291" s="66"/>
      <c r="G291" s="236"/>
      <c r="I291" s="145"/>
      <c r="J291" s="148"/>
      <c r="K291" s="149"/>
    </row>
    <row r="292" spans="2:11" s="17" customFormat="1" x14ac:dyDescent="0.25">
      <c r="B292" s="55"/>
      <c r="C292" s="55"/>
      <c r="F292" s="66"/>
      <c r="G292" s="236"/>
      <c r="I292" s="145"/>
      <c r="J292" s="148"/>
      <c r="K292" s="149"/>
    </row>
    <row r="293" spans="2:11" s="17" customFormat="1" x14ac:dyDescent="0.25">
      <c r="B293" s="55"/>
      <c r="C293" s="55"/>
      <c r="F293" s="66"/>
      <c r="G293" s="236"/>
      <c r="I293" s="145"/>
      <c r="J293" s="148"/>
      <c r="K293" s="149"/>
    </row>
    <row r="294" spans="2:11" s="17" customFormat="1" x14ac:dyDescent="0.25">
      <c r="B294" s="55"/>
      <c r="C294" s="55"/>
      <c r="F294" s="66"/>
      <c r="G294" s="236"/>
      <c r="I294" s="145"/>
      <c r="J294" s="148"/>
      <c r="K294" s="149"/>
    </row>
    <row r="295" spans="2:11" s="17" customFormat="1" x14ac:dyDescent="0.25">
      <c r="B295" s="55"/>
      <c r="C295" s="55"/>
      <c r="F295" s="66"/>
      <c r="G295" s="236"/>
      <c r="I295" s="145"/>
      <c r="J295" s="148"/>
      <c r="K295" s="149"/>
    </row>
    <row r="296" spans="2:11" s="17" customFormat="1" x14ac:dyDescent="0.25">
      <c r="B296" s="55"/>
      <c r="C296" s="55"/>
      <c r="F296" s="66"/>
      <c r="G296" s="236"/>
      <c r="I296" s="145"/>
      <c r="J296" s="148"/>
      <c r="K296" s="149"/>
    </row>
    <row r="297" spans="2:11" s="17" customFormat="1" x14ac:dyDescent="0.25">
      <c r="B297" s="55"/>
      <c r="C297" s="55"/>
      <c r="F297" s="66"/>
      <c r="G297" s="236"/>
      <c r="I297" s="145"/>
      <c r="J297" s="148"/>
      <c r="K297" s="149"/>
    </row>
    <row r="298" spans="2:11" s="17" customFormat="1" x14ac:dyDescent="0.25">
      <c r="B298" s="55"/>
      <c r="C298" s="55"/>
      <c r="F298" s="66"/>
      <c r="G298" s="236"/>
      <c r="I298" s="145"/>
      <c r="J298" s="148"/>
      <c r="K298" s="149"/>
    </row>
    <row r="299" spans="2:11" s="17" customFormat="1" x14ac:dyDescent="0.25">
      <c r="B299" s="55"/>
      <c r="C299" s="55"/>
      <c r="F299" s="66"/>
      <c r="G299" s="236"/>
      <c r="I299" s="145"/>
      <c r="J299" s="148"/>
      <c r="K299" s="149"/>
    </row>
    <row r="300" spans="2:11" s="17" customFormat="1" x14ac:dyDescent="0.25">
      <c r="B300" s="55"/>
      <c r="C300" s="55"/>
      <c r="F300" s="66"/>
      <c r="G300" s="236"/>
      <c r="I300" s="145"/>
      <c r="J300" s="148"/>
      <c r="K300" s="149"/>
    </row>
    <row r="301" spans="2:11" s="17" customFormat="1" x14ac:dyDescent="0.25">
      <c r="B301" s="55"/>
      <c r="C301" s="55"/>
      <c r="F301" s="66"/>
      <c r="G301" s="236"/>
      <c r="I301" s="145"/>
      <c r="J301" s="148"/>
      <c r="K301" s="149"/>
    </row>
    <row r="302" spans="2:11" s="17" customFormat="1" x14ac:dyDescent="0.25">
      <c r="B302" s="55"/>
      <c r="C302" s="55"/>
      <c r="F302" s="66"/>
      <c r="G302" s="236"/>
      <c r="I302" s="145"/>
      <c r="J302" s="148"/>
      <c r="K302" s="149"/>
    </row>
    <row r="303" spans="2:11" s="17" customFormat="1" x14ac:dyDescent="0.25">
      <c r="B303" s="55"/>
      <c r="C303" s="55"/>
      <c r="F303" s="66"/>
      <c r="G303" s="236"/>
      <c r="I303" s="145"/>
      <c r="J303" s="148"/>
      <c r="K303" s="149"/>
    </row>
    <row r="304" spans="2:11" s="17" customFormat="1" x14ac:dyDescent="0.25">
      <c r="B304" s="55"/>
      <c r="C304" s="55"/>
      <c r="F304" s="66"/>
      <c r="G304" s="236"/>
      <c r="I304" s="145"/>
      <c r="J304" s="148"/>
      <c r="K304" s="149"/>
    </row>
    <row r="305" spans="2:11" s="17" customFormat="1" x14ac:dyDescent="0.25">
      <c r="B305" s="55"/>
      <c r="C305" s="55"/>
      <c r="F305" s="66"/>
      <c r="G305" s="236"/>
      <c r="I305" s="145"/>
      <c r="J305" s="148"/>
      <c r="K305" s="149"/>
    </row>
    <row r="306" spans="2:11" s="17" customFormat="1" x14ac:dyDescent="0.25">
      <c r="B306" s="55"/>
      <c r="C306" s="55"/>
      <c r="F306" s="66"/>
      <c r="G306" s="236"/>
      <c r="I306" s="145"/>
      <c r="J306" s="148"/>
      <c r="K306" s="149"/>
    </row>
    <row r="307" spans="2:11" s="17" customFormat="1" x14ac:dyDescent="0.25">
      <c r="B307" s="55"/>
      <c r="C307" s="55"/>
      <c r="F307" s="66"/>
      <c r="G307" s="236"/>
      <c r="I307" s="145"/>
      <c r="J307" s="148"/>
      <c r="K307" s="149"/>
    </row>
    <row r="308" spans="2:11" s="17" customFormat="1" x14ac:dyDescent="0.25">
      <c r="B308" s="55"/>
      <c r="C308" s="55"/>
      <c r="F308" s="66"/>
      <c r="G308" s="236"/>
      <c r="I308" s="145"/>
      <c r="J308" s="148"/>
      <c r="K308" s="149"/>
    </row>
    <row r="309" spans="2:11" s="17" customFormat="1" x14ac:dyDescent="0.25">
      <c r="B309" s="55"/>
      <c r="C309" s="55"/>
      <c r="F309" s="66"/>
      <c r="G309" s="236"/>
      <c r="I309" s="145"/>
      <c r="J309" s="148"/>
      <c r="K309" s="149"/>
    </row>
    <row r="310" spans="2:11" s="17" customFormat="1" x14ac:dyDescent="0.25">
      <c r="B310" s="55"/>
      <c r="C310" s="55"/>
      <c r="F310" s="66"/>
      <c r="G310" s="236"/>
      <c r="I310" s="145"/>
      <c r="J310" s="148"/>
      <c r="K310" s="149"/>
    </row>
    <row r="311" spans="2:11" s="17" customFormat="1" x14ac:dyDescent="0.25">
      <c r="B311" s="55"/>
      <c r="C311" s="55"/>
      <c r="F311" s="66"/>
      <c r="G311" s="236"/>
      <c r="I311" s="145"/>
      <c r="J311" s="148"/>
      <c r="K311" s="149"/>
    </row>
    <row r="312" spans="2:11" s="17" customFormat="1" x14ac:dyDescent="0.25">
      <c r="B312" s="55"/>
      <c r="C312" s="55"/>
      <c r="F312" s="66"/>
      <c r="G312" s="236"/>
      <c r="I312" s="145"/>
      <c r="J312" s="148"/>
      <c r="K312" s="149"/>
    </row>
    <row r="313" spans="2:11" s="17" customFormat="1" x14ac:dyDescent="0.25">
      <c r="B313" s="55"/>
      <c r="C313" s="55"/>
      <c r="F313" s="66"/>
      <c r="G313" s="236"/>
      <c r="I313" s="145"/>
      <c r="J313" s="148"/>
      <c r="K313" s="149"/>
    </row>
    <row r="314" spans="2:11" s="17" customFormat="1" x14ac:dyDescent="0.25">
      <c r="B314" s="55"/>
      <c r="C314" s="55"/>
      <c r="F314" s="66"/>
      <c r="G314" s="236"/>
      <c r="I314" s="145"/>
      <c r="J314" s="148"/>
      <c r="K314" s="149"/>
    </row>
    <row r="315" spans="2:11" s="17" customFormat="1" x14ac:dyDescent="0.25">
      <c r="B315" s="55"/>
      <c r="C315" s="55"/>
      <c r="F315" s="66"/>
      <c r="G315" s="236"/>
      <c r="I315" s="145"/>
      <c r="J315" s="148"/>
      <c r="K315" s="149"/>
    </row>
    <row r="316" spans="2:11" s="17" customFormat="1" x14ac:dyDescent="0.25">
      <c r="B316" s="55"/>
      <c r="C316" s="55"/>
      <c r="F316" s="66"/>
      <c r="G316" s="236"/>
      <c r="I316" s="145"/>
      <c r="J316" s="148"/>
      <c r="K316" s="149"/>
    </row>
    <row r="317" spans="2:11" s="17" customFormat="1" x14ac:dyDescent="0.25">
      <c r="B317" s="55"/>
      <c r="C317" s="55"/>
      <c r="F317" s="66"/>
      <c r="G317" s="236"/>
      <c r="I317" s="145"/>
      <c r="J317" s="148"/>
      <c r="K317" s="149"/>
    </row>
    <row r="318" spans="2:11" s="17" customFormat="1" x14ac:dyDescent="0.25">
      <c r="B318" s="55"/>
      <c r="C318" s="55"/>
      <c r="F318" s="66"/>
      <c r="G318" s="236"/>
      <c r="I318" s="145"/>
      <c r="J318" s="148"/>
      <c r="K318" s="149"/>
    </row>
    <row r="319" spans="2:11" s="17" customFormat="1" x14ac:dyDescent="0.25">
      <c r="B319" s="55"/>
      <c r="C319" s="55"/>
      <c r="F319" s="66"/>
      <c r="G319" s="236"/>
      <c r="I319" s="145"/>
      <c r="J319" s="148"/>
      <c r="K319" s="149"/>
    </row>
    <row r="320" spans="2:11" s="17" customFormat="1" x14ac:dyDescent="0.25">
      <c r="B320" s="55"/>
      <c r="C320" s="55"/>
      <c r="F320" s="66"/>
      <c r="G320" s="236"/>
      <c r="I320" s="145"/>
      <c r="J320" s="148"/>
      <c r="K320" s="149"/>
    </row>
    <row r="321" spans="2:11" s="17" customFormat="1" x14ac:dyDescent="0.25">
      <c r="B321" s="55"/>
      <c r="C321" s="55"/>
      <c r="F321" s="66"/>
      <c r="G321" s="236"/>
      <c r="I321" s="145"/>
      <c r="J321" s="148"/>
      <c r="K321" s="149"/>
    </row>
    <row r="322" spans="2:11" s="17" customFormat="1" x14ac:dyDescent="0.25">
      <c r="B322" s="55"/>
      <c r="C322" s="55"/>
      <c r="F322" s="66"/>
      <c r="G322" s="236"/>
      <c r="I322" s="145"/>
      <c r="J322" s="148"/>
      <c r="K322" s="149"/>
    </row>
    <row r="323" spans="2:11" s="17" customFormat="1" x14ac:dyDescent="0.25">
      <c r="B323" s="55"/>
      <c r="C323" s="55"/>
      <c r="F323" s="66"/>
      <c r="G323" s="236"/>
      <c r="I323" s="145"/>
      <c r="J323" s="148"/>
      <c r="K323" s="149"/>
    </row>
    <row r="324" spans="2:11" s="17" customFormat="1" x14ac:dyDescent="0.25">
      <c r="B324" s="55"/>
      <c r="C324" s="55"/>
      <c r="F324" s="66"/>
      <c r="G324" s="236"/>
      <c r="I324" s="145"/>
      <c r="J324" s="148"/>
      <c r="K324" s="149"/>
    </row>
    <row r="325" spans="2:11" s="17" customFormat="1" x14ac:dyDescent="0.25">
      <c r="B325" s="55"/>
      <c r="C325" s="55"/>
      <c r="F325" s="66"/>
      <c r="G325" s="236"/>
      <c r="I325" s="145"/>
      <c r="J325" s="148"/>
      <c r="K325" s="149"/>
    </row>
    <row r="326" spans="2:11" s="17" customFormat="1" x14ac:dyDescent="0.25">
      <c r="B326" s="55"/>
      <c r="C326" s="55"/>
      <c r="F326" s="66"/>
      <c r="G326" s="236"/>
      <c r="I326" s="145"/>
      <c r="J326" s="148"/>
      <c r="K326" s="149"/>
    </row>
    <row r="327" spans="2:11" s="17" customFormat="1" x14ac:dyDescent="0.25">
      <c r="B327" s="55"/>
      <c r="C327" s="55"/>
      <c r="F327" s="66"/>
      <c r="G327" s="236"/>
      <c r="I327" s="145"/>
      <c r="J327" s="148"/>
      <c r="K327" s="149"/>
    </row>
    <row r="328" spans="2:11" s="17" customFormat="1" x14ac:dyDescent="0.25">
      <c r="B328" s="55"/>
      <c r="C328" s="55"/>
      <c r="F328" s="66"/>
      <c r="G328" s="236"/>
      <c r="I328" s="145"/>
      <c r="J328" s="148"/>
      <c r="K328" s="149"/>
    </row>
    <row r="329" spans="2:11" s="17" customFormat="1" x14ac:dyDescent="0.25">
      <c r="B329" s="55"/>
      <c r="C329" s="55"/>
      <c r="F329" s="66"/>
      <c r="G329" s="236"/>
      <c r="I329" s="145"/>
      <c r="J329" s="148"/>
      <c r="K329" s="149"/>
    </row>
    <row r="330" spans="2:11" s="17" customFormat="1" x14ac:dyDescent="0.25">
      <c r="B330" s="55"/>
      <c r="C330" s="55"/>
      <c r="F330" s="66"/>
      <c r="G330" s="236"/>
      <c r="I330" s="145"/>
      <c r="J330" s="148"/>
      <c r="K330" s="149"/>
    </row>
    <row r="331" spans="2:11" s="17" customFormat="1" x14ac:dyDescent="0.25">
      <c r="B331" s="55"/>
      <c r="C331" s="55"/>
      <c r="F331" s="66"/>
      <c r="G331" s="236"/>
      <c r="I331" s="145"/>
      <c r="J331" s="148"/>
      <c r="K331" s="149"/>
    </row>
    <row r="332" spans="2:11" s="17" customFormat="1" x14ac:dyDescent="0.25">
      <c r="B332" s="55"/>
      <c r="C332" s="55"/>
      <c r="F332" s="66"/>
      <c r="G332" s="236"/>
      <c r="I332" s="145"/>
      <c r="J332" s="148"/>
      <c r="K332" s="149"/>
    </row>
    <row r="333" spans="2:11" s="17" customFormat="1" x14ac:dyDescent="0.25">
      <c r="B333" s="55"/>
      <c r="C333" s="55"/>
      <c r="F333" s="66"/>
      <c r="G333" s="236"/>
      <c r="I333" s="145"/>
      <c r="J333" s="148"/>
      <c r="K333" s="149"/>
    </row>
    <row r="334" spans="2:11" s="17" customFormat="1" x14ac:dyDescent="0.25">
      <c r="B334" s="55"/>
      <c r="C334" s="55"/>
      <c r="F334" s="66"/>
      <c r="G334" s="236"/>
      <c r="I334" s="145"/>
      <c r="J334" s="148"/>
      <c r="K334" s="149"/>
    </row>
    <row r="335" spans="2:11" s="17" customFormat="1" x14ac:dyDescent="0.25">
      <c r="B335" s="55"/>
      <c r="C335" s="55"/>
      <c r="F335" s="66"/>
      <c r="G335" s="236"/>
      <c r="I335" s="145"/>
      <c r="J335" s="148"/>
      <c r="K335" s="149"/>
    </row>
    <row r="336" spans="2:11" s="17" customFormat="1" x14ac:dyDescent="0.25">
      <c r="B336" s="55"/>
      <c r="C336" s="55"/>
      <c r="F336" s="66"/>
      <c r="G336" s="236"/>
      <c r="I336" s="145"/>
      <c r="J336" s="148"/>
      <c r="K336" s="149"/>
    </row>
    <row r="337" spans="2:11" s="17" customFormat="1" x14ac:dyDescent="0.25">
      <c r="B337" s="55"/>
      <c r="C337" s="55"/>
      <c r="F337" s="66"/>
      <c r="G337" s="236"/>
      <c r="I337" s="145"/>
      <c r="J337" s="148"/>
      <c r="K337" s="149"/>
    </row>
    <row r="338" spans="2:11" s="17" customFormat="1" x14ac:dyDescent="0.25">
      <c r="B338" s="55"/>
      <c r="C338" s="55"/>
      <c r="F338" s="66"/>
      <c r="G338" s="236"/>
      <c r="I338" s="145"/>
      <c r="J338" s="148"/>
      <c r="K338" s="149"/>
    </row>
    <row r="339" spans="2:11" s="17" customFormat="1" x14ac:dyDescent="0.25">
      <c r="B339" s="55"/>
      <c r="C339" s="55"/>
      <c r="F339" s="66"/>
      <c r="G339" s="236"/>
      <c r="I339" s="145"/>
      <c r="J339" s="148"/>
      <c r="K339" s="149"/>
    </row>
    <row r="340" spans="2:11" s="17" customFormat="1" x14ac:dyDescent="0.25">
      <c r="B340" s="55"/>
      <c r="C340" s="55"/>
      <c r="F340" s="66"/>
      <c r="G340" s="236"/>
      <c r="I340" s="145"/>
      <c r="J340" s="148"/>
      <c r="K340" s="149"/>
    </row>
    <row r="341" spans="2:11" s="17" customFormat="1" x14ac:dyDescent="0.25">
      <c r="B341" s="55"/>
      <c r="C341" s="55"/>
      <c r="F341" s="66"/>
      <c r="G341" s="236"/>
      <c r="I341" s="145"/>
      <c r="J341" s="148"/>
      <c r="K341" s="149"/>
    </row>
    <row r="342" spans="2:11" s="17" customFormat="1" x14ac:dyDescent="0.25">
      <c r="B342" s="55"/>
      <c r="C342" s="55"/>
      <c r="F342" s="66"/>
      <c r="G342" s="236"/>
      <c r="I342" s="145"/>
      <c r="J342" s="148"/>
      <c r="K342" s="149"/>
    </row>
    <row r="343" spans="2:11" s="17" customFormat="1" x14ac:dyDescent="0.25">
      <c r="B343" s="55"/>
      <c r="C343" s="55"/>
      <c r="F343" s="66"/>
      <c r="G343" s="236"/>
      <c r="I343" s="145"/>
      <c r="J343" s="148"/>
      <c r="K343" s="149"/>
    </row>
    <row r="344" spans="2:11" s="17" customFormat="1" x14ac:dyDescent="0.25">
      <c r="B344" s="55"/>
      <c r="C344" s="55"/>
      <c r="F344" s="66"/>
      <c r="G344" s="236"/>
      <c r="I344" s="145"/>
      <c r="J344" s="148"/>
      <c r="K344" s="149"/>
    </row>
    <row r="345" spans="2:11" s="17" customFormat="1" x14ac:dyDescent="0.25">
      <c r="B345" s="55"/>
      <c r="C345" s="55"/>
      <c r="F345" s="66"/>
      <c r="G345" s="236"/>
      <c r="I345" s="145"/>
      <c r="J345" s="148"/>
      <c r="K345" s="149"/>
    </row>
    <row r="346" spans="2:11" s="17" customFormat="1" x14ac:dyDescent="0.25">
      <c r="B346" s="55"/>
      <c r="C346" s="55"/>
      <c r="F346" s="66"/>
      <c r="G346" s="236"/>
      <c r="I346" s="145"/>
      <c r="J346" s="148"/>
      <c r="K346" s="149"/>
    </row>
    <row r="347" spans="2:11" s="17" customFormat="1" x14ac:dyDescent="0.25">
      <c r="B347" s="55"/>
      <c r="C347" s="55"/>
      <c r="F347" s="66"/>
      <c r="G347" s="236"/>
      <c r="I347" s="145"/>
      <c r="J347" s="148"/>
      <c r="K347" s="149"/>
    </row>
    <row r="348" spans="2:11" s="17" customFormat="1" x14ac:dyDescent="0.25">
      <c r="B348" s="55"/>
      <c r="C348" s="55"/>
      <c r="F348" s="66"/>
      <c r="G348" s="236"/>
      <c r="I348" s="145"/>
      <c r="J348" s="148"/>
      <c r="K348" s="149"/>
    </row>
    <row r="349" spans="2:11" s="17" customFormat="1" x14ac:dyDescent="0.25">
      <c r="B349" s="55"/>
      <c r="C349" s="55"/>
      <c r="F349" s="66"/>
      <c r="G349" s="236"/>
      <c r="I349" s="145"/>
      <c r="J349" s="148"/>
      <c r="K349" s="149"/>
    </row>
    <row r="350" spans="2:11" s="17" customFormat="1" x14ac:dyDescent="0.25">
      <c r="B350" s="55"/>
      <c r="C350" s="55"/>
      <c r="F350" s="66"/>
      <c r="G350" s="236"/>
      <c r="I350" s="145"/>
      <c r="J350" s="148"/>
      <c r="K350" s="149"/>
    </row>
    <row r="351" spans="2:11" s="17" customFormat="1" x14ac:dyDescent="0.25">
      <c r="B351" s="55"/>
      <c r="C351" s="55"/>
      <c r="F351" s="66"/>
      <c r="G351" s="236"/>
      <c r="I351" s="145"/>
      <c r="J351" s="148"/>
      <c r="K351" s="149"/>
    </row>
    <row r="352" spans="2:11" s="17" customFormat="1" x14ac:dyDescent="0.25">
      <c r="B352" s="55"/>
      <c r="C352" s="55"/>
      <c r="F352" s="66"/>
      <c r="G352" s="236"/>
      <c r="I352" s="145"/>
      <c r="J352" s="148"/>
      <c r="K352" s="149"/>
    </row>
    <row r="353" spans="2:11" s="17" customFormat="1" x14ac:dyDescent="0.25">
      <c r="B353" s="55"/>
      <c r="C353" s="55"/>
      <c r="F353" s="66"/>
      <c r="G353" s="236"/>
      <c r="I353" s="145"/>
      <c r="J353" s="148"/>
      <c r="K353" s="149"/>
    </row>
    <row r="354" spans="2:11" s="17" customFormat="1" x14ac:dyDescent="0.25">
      <c r="B354" s="55"/>
      <c r="C354" s="55"/>
      <c r="F354" s="66"/>
      <c r="G354" s="236"/>
      <c r="I354" s="145"/>
      <c r="J354" s="148"/>
      <c r="K354" s="149"/>
    </row>
    <row r="355" spans="2:11" s="17" customFormat="1" x14ac:dyDescent="0.25">
      <c r="B355" s="55"/>
      <c r="C355" s="55"/>
      <c r="F355" s="66"/>
      <c r="G355" s="236"/>
      <c r="I355" s="145"/>
      <c r="J355" s="148"/>
      <c r="K355" s="149"/>
    </row>
    <row r="356" spans="2:11" s="17" customFormat="1" x14ac:dyDescent="0.25">
      <c r="B356" s="55"/>
      <c r="C356" s="55"/>
      <c r="F356" s="66"/>
      <c r="G356" s="236"/>
      <c r="I356" s="145"/>
      <c r="J356" s="148"/>
      <c r="K356" s="149"/>
    </row>
    <row r="357" spans="2:11" s="17" customFormat="1" x14ac:dyDescent="0.25">
      <c r="B357" s="55"/>
      <c r="C357" s="55"/>
      <c r="F357" s="66"/>
      <c r="G357" s="236"/>
      <c r="I357" s="145"/>
      <c r="J357" s="148"/>
      <c r="K357" s="149"/>
    </row>
    <row r="358" spans="2:11" s="17" customFormat="1" x14ac:dyDescent="0.25">
      <c r="B358" s="55"/>
      <c r="C358" s="55"/>
      <c r="F358" s="66"/>
      <c r="G358" s="236"/>
      <c r="I358" s="145"/>
      <c r="J358" s="148"/>
      <c r="K358" s="149"/>
    </row>
    <row r="359" spans="2:11" s="17" customFormat="1" x14ac:dyDescent="0.25">
      <c r="B359" s="55"/>
      <c r="C359" s="55"/>
      <c r="F359" s="66"/>
      <c r="G359" s="236"/>
      <c r="I359" s="145"/>
      <c r="J359" s="148"/>
      <c r="K359" s="149"/>
    </row>
    <row r="360" spans="2:11" s="17" customFormat="1" x14ac:dyDescent="0.25">
      <c r="B360" s="55"/>
      <c r="C360" s="55"/>
      <c r="F360" s="66"/>
      <c r="G360" s="236"/>
      <c r="I360" s="145"/>
      <c r="J360" s="148"/>
      <c r="K360" s="149"/>
    </row>
    <row r="361" spans="2:11" s="17" customFormat="1" x14ac:dyDescent="0.25">
      <c r="B361" s="55"/>
      <c r="C361" s="55"/>
      <c r="F361" s="66"/>
      <c r="G361" s="236"/>
      <c r="I361" s="145"/>
      <c r="J361" s="148"/>
      <c r="K361" s="149"/>
    </row>
    <row r="362" spans="2:11" s="17" customFormat="1" x14ac:dyDescent="0.25">
      <c r="B362" s="55"/>
      <c r="C362" s="55"/>
      <c r="F362" s="66"/>
      <c r="G362" s="236"/>
      <c r="I362" s="145"/>
      <c r="J362" s="148"/>
      <c r="K362" s="149"/>
    </row>
    <row r="363" spans="2:11" s="17" customFormat="1" x14ac:dyDescent="0.25">
      <c r="B363" s="55"/>
      <c r="C363" s="55"/>
      <c r="F363" s="66"/>
      <c r="G363" s="236"/>
      <c r="I363" s="145"/>
      <c r="J363" s="148"/>
      <c r="K363" s="149"/>
    </row>
    <row r="364" spans="2:11" s="17" customFormat="1" x14ac:dyDescent="0.25">
      <c r="B364" s="55"/>
      <c r="C364" s="55"/>
      <c r="F364" s="66"/>
      <c r="G364" s="236"/>
      <c r="I364" s="145"/>
      <c r="J364" s="148"/>
      <c r="K364" s="149"/>
    </row>
    <row r="365" spans="2:11" s="17" customFormat="1" x14ac:dyDescent="0.25">
      <c r="B365" s="55"/>
      <c r="C365" s="55"/>
      <c r="F365" s="66"/>
      <c r="G365" s="236"/>
      <c r="I365" s="145"/>
      <c r="J365" s="148"/>
      <c r="K365" s="149"/>
    </row>
    <row r="366" spans="2:11" s="17" customFormat="1" x14ac:dyDescent="0.25">
      <c r="B366" s="55"/>
      <c r="C366" s="55"/>
      <c r="F366" s="66"/>
      <c r="G366" s="236"/>
      <c r="I366" s="145"/>
      <c r="J366" s="148"/>
      <c r="K366" s="149"/>
    </row>
    <row r="367" spans="2:11" s="17" customFormat="1" x14ac:dyDescent="0.25">
      <c r="B367" s="55"/>
      <c r="C367" s="55"/>
      <c r="F367" s="66"/>
      <c r="G367" s="236"/>
      <c r="I367" s="145"/>
      <c r="J367" s="148"/>
      <c r="K367" s="149"/>
    </row>
    <row r="368" spans="2:11" s="17" customFormat="1" x14ac:dyDescent="0.25">
      <c r="B368" s="55"/>
      <c r="C368" s="55"/>
      <c r="F368" s="66"/>
      <c r="G368" s="236"/>
      <c r="I368" s="145"/>
      <c r="J368" s="148"/>
      <c r="K368" s="149"/>
    </row>
    <row r="369" spans="2:11" s="17" customFormat="1" x14ac:dyDescent="0.25">
      <c r="B369" s="55"/>
      <c r="C369" s="55"/>
      <c r="F369" s="66"/>
      <c r="G369" s="236"/>
      <c r="I369" s="145"/>
      <c r="J369" s="148"/>
      <c r="K369" s="149"/>
    </row>
    <row r="370" spans="2:11" s="17" customFormat="1" x14ac:dyDescent="0.25">
      <c r="B370" s="55"/>
      <c r="C370" s="55"/>
      <c r="F370" s="66"/>
      <c r="G370" s="236"/>
      <c r="I370" s="145"/>
      <c r="J370" s="148"/>
      <c r="K370" s="149"/>
    </row>
    <row r="371" spans="2:11" s="17" customFormat="1" x14ac:dyDescent="0.25">
      <c r="B371" s="55"/>
      <c r="C371" s="55"/>
      <c r="F371" s="66"/>
      <c r="G371" s="236"/>
      <c r="I371" s="145"/>
      <c r="J371" s="148"/>
      <c r="K371" s="149"/>
    </row>
    <row r="372" spans="2:11" s="17" customFormat="1" x14ac:dyDescent="0.25">
      <c r="B372" s="55"/>
      <c r="C372" s="55"/>
      <c r="F372" s="66"/>
      <c r="G372" s="236"/>
      <c r="I372" s="145"/>
      <c r="J372" s="148"/>
      <c r="K372" s="149"/>
    </row>
    <row r="373" spans="2:11" s="17" customFormat="1" x14ac:dyDescent="0.25">
      <c r="B373" s="55"/>
      <c r="C373" s="55"/>
      <c r="F373" s="66"/>
      <c r="G373" s="236"/>
      <c r="I373" s="145"/>
      <c r="J373" s="148"/>
      <c r="K373" s="149"/>
    </row>
    <row r="374" spans="2:11" s="17" customFormat="1" x14ac:dyDescent="0.25">
      <c r="B374" s="55"/>
      <c r="C374" s="55"/>
      <c r="F374" s="66"/>
      <c r="G374" s="236"/>
      <c r="I374" s="145"/>
      <c r="J374" s="148"/>
      <c r="K374" s="149"/>
    </row>
    <row r="375" spans="2:11" s="17" customFormat="1" x14ac:dyDescent="0.25">
      <c r="B375" s="55"/>
      <c r="C375" s="55"/>
      <c r="F375" s="66"/>
      <c r="G375" s="236"/>
      <c r="I375" s="145"/>
      <c r="J375" s="148"/>
      <c r="K375" s="149"/>
    </row>
    <row r="376" spans="2:11" s="17" customFormat="1" x14ac:dyDescent="0.25">
      <c r="B376" s="55"/>
      <c r="C376" s="55"/>
      <c r="F376" s="66"/>
      <c r="G376" s="236"/>
      <c r="I376" s="145"/>
      <c r="J376" s="148"/>
      <c r="K376" s="149"/>
    </row>
    <row r="377" spans="2:11" s="17" customFormat="1" x14ac:dyDescent="0.25">
      <c r="B377" s="55"/>
      <c r="C377" s="55"/>
      <c r="F377" s="66"/>
      <c r="G377" s="236"/>
      <c r="I377" s="145"/>
      <c r="J377" s="148"/>
      <c r="K377" s="149"/>
    </row>
    <row r="378" spans="2:11" s="17" customFormat="1" x14ac:dyDescent="0.25">
      <c r="B378" s="55"/>
      <c r="C378" s="55"/>
      <c r="F378" s="66"/>
      <c r="G378" s="236"/>
      <c r="I378" s="145"/>
      <c r="J378" s="148"/>
      <c r="K378" s="149"/>
    </row>
    <row r="379" spans="2:11" s="17" customFormat="1" x14ac:dyDescent="0.25">
      <c r="B379" s="55"/>
      <c r="C379" s="55"/>
      <c r="F379" s="66"/>
      <c r="G379" s="236"/>
      <c r="I379" s="145"/>
      <c r="J379" s="148"/>
      <c r="K379" s="149"/>
    </row>
    <row r="380" spans="2:11" s="17" customFormat="1" x14ac:dyDescent="0.25">
      <c r="B380" s="55"/>
      <c r="C380" s="55"/>
      <c r="F380" s="66"/>
      <c r="G380" s="236"/>
      <c r="I380" s="145"/>
      <c r="J380" s="148"/>
      <c r="K380" s="149"/>
    </row>
    <row r="381" spans="2:11" s="17" customFormat="1" x14ac:dyDescent="0.25">
      <c r="B381" s="55"/>
      <c r="C381" s="55"/>
      <c r="F381" s="66"/>
      <c r="G381" s="236"/>
      <c r="I381" s="145"/>
      <c r="J381" s="148"/>
      <c r="K381" s="149"/>
    </row>
    <row r="382" spans="2:11" s="17" customFormat="1" x14ac:dyDescent="0.25">
      <c r="B382" s="55"/>
      <c r="C382" s="55"/>
      <c r="F382" s="66"/>
      <c r="G382" s="236"/>
      <c r="I382" s="145"/>
      <c r="J382" s="148"/>
      <c r="K382" s="149"/>
    </row>
    <row r="383" spans="2:11" s="17" customFormat="1" x14ac:dyDescent="0.25">
      <c r="B383" s="55"/>
      <c r="C383" s="55"/>
      <c r="F383" s="66"/>
      <c r="G383" s="236"/>
      <c r="I383" s="145"/>
      <c r="J383" s="148"/>
      <c r="K383" s="149"/>
    </row>
    <row r="384" spans="2:11" s="17" customFormat="1" x14ac:dyDescent="0.25">
      <c r="B384" s="55"/>
      <c r="C384" s="55"/>
      <c r="F384" s="66"/>
      <c r="G384" s="236"/>
      <c r="I384" s="145"/>
      <c r="J384" s="148"/>
      <c r="K384" s="149"/>
    </row>
    <row r="385" spans="2:11" s="17" customFormat="1" x14ac:dyDescent="0.25">
      <c r="B385" s="55"/>
      <c r="C385" s="55"/>
      <c r="F385" s="66"/>
      <c r="G385" s="236"/>
      <c r="I385" s="145"/>
      <c r="J385" s="148"/>
      <c r="K385" s="149"/>
    </row>
    <row r="386" spans="2:11" s="17" customFormat="1" x14ac:dyDescent="0.25">
      <c r="B386" s="55"/>
      <c r="C386" s="55"/>
      <c r="F386" s="66"/>
      <c r="G386" s="236"/>
      <c r="I386" s="145"/>
      <c r="J386" s="148"/>
      <c r="K386" s="149"/>
    </row>
    <row r="387" spans="2:11" s="17" customFormat="1" x14ac:dyDescent="0.25">
      <c r="B387" s="55"/>
      <c r="C387" s="55"/>
      <c r="F387" s="66"/>
      <c r="G387" s="236"/>
      <c r="I387" s="145"/>
      <c r="J387" s="148"/>
      <c r="K387" s="149"/>
    </row>
    <row r="388" spans="2:11" s="17" customFormat="1" x14ac:dyDescent="0.25">
      <c r="B388" s="55"/>
      <c r="C388" s="55"/>
      <c r="F388" s="66"/>
      <c r="G388" s="236"/>
      <c r="I388" s="145"/>
      <c r="J388" s="148"/>
      <c r="K388" s="149"/>
    </row>
    <row r="389" spans="2:11" s="17" customFormat="1" x14ac:dyDescent="0.25">
      <c r="B389" s="55"/>
      <c r="C389" s="55"/>
      <c r="F389" s="66"/>
      <c r="G389" s="236"/>
      <c r="I389" s="145"/>
      <c r="J389" s="148"/>
      <c r="K389" s="149"/>
    </row>
    <row r="390" spans="2:11" s="17" customFormat="1" x14ac:dyDescent="0.25">
      <c r="B390" s="55"/>
      <c r="C390" s="55"/>
      <c r="F390" s="66"/>
      <c r="G390" s="236"/>
      <c r="I390" s="145"/>
      <c r="J390" s="148"/>
      <c r="K390" s="149"/>
    </row>
    <row r="391" spans="2:11" s="17" customFormat="1" x14ac:dyDescent="0.25">
      <c r="B391" s="55"/>
      <c r="C391" s="55"/>
      <c r="F391" s="66"/>
      <c r="G391" s="236"/>
      <c r="I391" s="145"/>
      <c r="J391" s="148"/>
      <c r="K391" s="149"/>
    </row>
    <row r="392" spans="2:11" s="17" customFormat="1" x14ac:dyDescent="0.25">
      <c r="B392" s="55"/>
      <c r="C392" s="55"/>
      <c r="F392" s="66"/>
      <c r="G392" s="236"/>
      <c r="I392" s="145"/>
      <c r="J392" s="148"/>
      <c r="K392" s="149"/>
    </row>
    <row r="393" spans="2:11" s="17" customFormat="1" x14ac:dyDescent="0.25">
      <c r="B393" s="55"/>
      <c r="C393" s="55"/>
      <c r="F393" s="66"/>
      <c r="G393" s="236"/>
      <c r="I393" s="145"/>
      <c r="J393" s="148"/>
      <c r="K393" s="149"/>
    </row>
    <row r="394" spans="2:11" s="17" customFormat="1" x14ac:dyDescent="0.25">
      <c r="B394" s="55"/>
      <c r="C394" s="55"/>
      <c r="F394" s="66"/>
      <c r="G394" s="236"/>
      <c r="I394" s="145"/>
      <c r="J394" s="148"/>
      <c r="K394" s="149"/>
    </row>
    <row r="395" spans="2:11" s="17" customFormat="1" x14ac:dyDescent="0.25">
      <c r="B395" s="55"/>
      <c r="C395" s="55"/>
      <c r="F395" s="66"/>
      <c r="G395" s="236"/>
      <c r="I395" s="145"/>
      <c r="J395" s="148"/>
      <c r="K395" s="149"/>
    </row>
    <row r="396" spans="2:11" s="17" customFormat="1" x14ac:dyDescent="0.25">
      <c r="B396" s="55"/>
      <c r="C396" s="55"/>
      <c r="F396" s="66"/>
      <c r="G396" s="236"/>
      <c r="I396" s="145"/>
      <c r="J396" s="148"/>
      <c r="K396" s="149"/>
    </row>
    <row r="397" spans="2:11" s="17" customFormat="1" x14ac:dyDescent="0.25">
      <c r="B397" s="55"/>
      <c r="C397" s="55"/>
      <c r="F397" s="66"/>
      <c r="G397" s="236"/>
      <c r="I397" s="145"/>
      <c r="J397" s="148"/>
      <c r="K397" s="149"/>
    </row>
    <row r="398" spans="2:11" s="17" customFormat="1" x14ac:dyDescent="0.25">
      <c r="B398" s="55"/>
      <c r="C398" s="55"/>
      <c r="F398" s="66"/>
      <c r="G398" s="236"/>
      <c r="I398" s="145"/>
      <c r="J398" s="148"/>
      <c r="K398" s="149"/>
    </row>
    <row r="399" spans="2:11" s="17" customFormat="1" x14ac:dyDescent="0.25">
      <c r="B399" s="55"/>
      <c r="C399" s="55"/>
      <c r="F399" s="66"/>
      <c r="G399" s="236"/>
      <c r="I399" s="145"/>
      <c r="J399" s="148"/>
      <c r="K399" s="149"/>
    </row>
    <row r="400" spans="2:11" s="17" customFormat="1" x14ac:dyDescent="0.25">
      <c r="B400" s="55"/>
      <c r="C400" s="55"/>
      <c r="F400" s="66"/>
      <c r="G400" s="236"/>
      <c r="I400" s="145"/>
      <c r="J400" s="148"/>
      <c r="K400" s="149"/>
    </row>
    <row r="401" spans="2:11" s="17" customFormat="1" x14ac:dyDescent="0.25">
      <c r="B401" s="55"/>
      <c r="C401" s="55"/>
      <c r="F401" s="66"/>
      <c r="G401" s="236"/>
      <c r="I401" s="145"/>
      <c r="J401" s="148"/>
      <c r="K401" s="149"/>
    </row>
    <row r="402" spans="2:11" s="17" customFormat="1" x14ac:dyDescent="0.25">
      <c r="B402" s="55"/>
      <c r="C402" s="55"/>
      <c r="F402" s="66"/>
      <c r="G402" s="236"/>
      <c r="I402" s="145"/>
      <c r="J402" s="148"/>
      <c r="K402" s="149"/>
    </row>
    <row r="403" spans="2:11" s="17" customFormat="1" x14ac:dyDescent="0.25">
      <c r="B403" s="55"/>
      <c r="C403" s="55"/>
      <c r="F403" s="66"/>
      <c r="G403" s="236"/>
      <c r="I403" s="145"/>
      <c r="J403" s="148"/>
      <c r="K403" s="149"/>
    </row>
    <row r="404" spans="2:11" s="17" customFormat="1" x14ac:dyDescent="0.25">
      <c r="B404" s="55"/>
      <c r="C404" s="55"/>
      <c r="F404" s="66"/>
      <c r="G404" s="236"/>
      <c r="I404" s="145"/>
      <c r="J404" s="148"/>
      <c r="K404" s="149"/>
    </row>
    <row r="405" spans="2:11" s="17" customFormat="1" x14ac:dyDescent="0.25">
      <c r="B405" s="55"/>
      <c r="C405" s="55"/>
      <c r="F405" s="66"/>
      <c r="G405" s="236"/>
      <c r="I405" s="145"/>
      <c r="J405" s="148"/>
      <c r="K405" s="149"/>
    </row>
    <row r="406" spans="2:11" s="17" customFormat="1" x14ac:dyDescent="0.25">
      <c r="B406" s="55"/>
      <c r="C406" s="55"/>
      <c r="F406" s="66"/>
      <c r="G406" s="236"/>
      <c r="I406" s="145"/>
      <c r="J406" s="148"/>
      <c r="K406" s="149"/>
    </row>
    <row r="407" spans="2:11" s="17" customFormat="1" x14ac:dyDescent="0.25">
      <c r="B407" s="55"/>
      <c r="C407" s="55"/>
      <c r="F407" s="66"/>
      <c r="G407" s="236"/>
      <c r="I407" s="145"/>
      <c r="J407" s="148"/>
      <c r="K407" s="149"/>
    </row>
    <row r="408" spans="2:11" s="17" customFormat="1" x14ac:dyDescent="0.25">
      <c r="B408" s="55"/>
      <c r="C408" s="55"/>
      <c r="F408" s="66"/>
      <c r="G408" s="236"/>
      <c r="I408" s="145"/>
      <c r="J408" s="148"/>
      <c r="K408" s="149"/>
    </row>
    <row r="409" spans="2:11" s="17" customFormat="1" x14ac:dyDescent="0.25">
      <c r="B409" s="55"/>
      <c r="C409" s="55"/>
      <c r="F409" s="66"/>
      <c r="G409" s="236"/>
      <c r="I409" s="145"/>
      <c r="J409" s="148"/>
      <c r="K409" s="149"/>
    </row>
    <row r="410" spans="2:11" s="17" customFormat="1" x14ac:dyDescent="0.25">
      <c r="B410" s="55"/>
      <c r="C410" s="55"/>
      <c r="F410" s="66"/>
      <c r="G410" s="236"/>
      <c r="I410" s="145"/>
      <c r="J410" s="148"/>
      <c r="K410" s="149"/>
    </row>
    <row r="411" spans="2:11" s="17" customFormat="1" x14ac:dyDescent="0.25">
      <c r="B411" s="55"/>
      <c r="C411" s="55"/>
      <c r="F411" s="66"/>
      <c r="G411" s="236"/>
      <c r="I411" s="145"/>
      <c r="J411" s="148"/>
      <c r="K411" s="149"/>
    </row>
    <row r="412" spans="2:11" s="17" customFormat="1" x14ac:dyDescent="0.25">
      <c r="B412" s="55"/>
      <c r="C412" s="55"/>
      <c r="F412" s="66"/>
      <c r="G412" s="236"/>
      <c r="I412" s="145"/>
      <c r="J412" s="148"/>
      <c r="K412" s="149"/>
    </row>
    <row r="413" spans="2:11" s="17" customFormat="1" x14ac:dyDescent="0.25">
      <c r="B413" s="55"/>
      <c r="C413" s="55"/>
      <c r="F413" s="66"/>
      <c r="G413" s="236"/>
      <c r="I413" s="145"/>
      <c r="J413" s="148"/>
      <c r="K413" s="149"/>
    </row>
    <row r="414" spans="2:11" s="17" customFormat="1" x14ac:dyDescent="0.25">
      <c r="B414" s="55"/>
      <c r="C414" s="55"/>
      <c r="F414" s="66"/>
      <c r="G414" s="236"/>
      <c r="I414" s="145"/>
      <c r="J414" s="148"/>
      <c r="K414" s="149"/>
    </row>
    <row r="415" spans="2:11" s="17" customFormat="1" x14ac:dyDescent="0.25">
      <c r="B415" s="55"/>
      <c r="C415" s="55"/>
      <c r="F415" s="66"/>
      <c r="G415" s="236"/>
      <c r="I415" s="145"/>
      <c r="J415" s="148"/>
      <c r="K415" s="149"/>
    </row>
    <row r="416" spans="2:11" s="17" customFormat="1" x14ac:dyDescent="0.25">
      <c r="B416" s="55"/>
      <c r="C416" s="55"/>
      <c r="F416" s="66"/>
      <c r="G416" s="236"/>
      <c r="I416" s="145"/>
      <c r="J416" s="148"/>
      <c r="K416" s="149"/>
    </row>
    <row r="417" spans="2:11" s="17" customFormat="1" x14ac:dyDescent="0.25">
      <c r="B417" s="55"/>
      <c r="C417" s="55"/>
      <c r="F417" s="66"/>
      <c r="G417" s="236"/>
      <c r="I417" s="145"/>
      <c r="J417" s="148"/>
      <c r="K417" s="149"/>
    </row>
    <row r="418" spans="2:11" s="17" customFormat="1" x14ac:dyDescent="0.25">
      <c r="B418" s="55"/>
      <c r="C418" s="55"/>
      <c r="F418" s="66"/>
      <c r="G418" s="236"/>
      <c r="I418" s="145"/>
      <c r="J418" s="148"/>
      <c r="K418" s="149"/>
    </row>
    <row r="419" spans="2:11" s="17" customFormat="1" x14ac:dyDescent="0.25">
      <c r="B419" s="55"/>
      <c r="C419" s="55"/>
      <c r="F419" s="66"/>
      <c r="G419" s="236"/>
      <c r="I419" s="145"/>
      <c r="J419" s="148"/>
      <c r="K419" s="149"/>
    </row>
    <row r="420" spans="2:11" s="17" customFormat="1" x14ac:dyDescent="0.25">
      <c r="B420" s="55"/>
      <c r="C420" s="55"/>
      <c r="F420" s="66"/>
      <c r="G420" s="236"/>
      <c r="I420" s="145"/>
      <c r="J420" s="148"/>
      <c r="K420" s="149"/>
    </row>
    <row r="421" spans="2:11" s="17" customFormat="1" x14ac:dyDescent="0.25">
      <c r="B421" s="55"/>
      <c r="C421" s="55"/>
      <c r="F421" s="66"/>
      <c r="G421" s="236"/>
      <c r="I421" s="145"/>
      <c r="J421" s="148"/>
      <c r="K421" s="149"/>
    </row>
    <row r="422" spans="2:11" s="17" customFormat="1" x14ac:dyDescent="0.25">
      <c r="B422" s="55"/>
      <c r="C422" s="55"/>
      <c r="F422" s="66"/>
      <c r="G422" s="236"/>
      <c r="I422" s="145"/>
      <c r="J422" s="148"/>
      <c r="K422" s="149"/>
    </row>
    <row r="423" spans="2:11" s="17" customFormat="1" x14ac:dyDescent="0.25">
      <c r="B423" s="55"/>
      <c r="C423" s="55"/>
      <c r="F423" s="66"/>
      <c r="G423" s="236"/>
      <c r="I423" s="145"/>
      <c r="J423" s="148"/>
      <c r="K423" s="149"/>
    </row>
    <row r="424" spans="2:11" s="17" customFormat="1" x14ac:dyDescent="0.25">
      <c r="B424" s="55"/>
      <c r="C424" s="55"/>
      <c r="F424" s="66"/>
      <c r="G424" s="236"/>
      <c r="I424" s="145"/>
      <c r="J424" s="148"/>
      <c r="K424" s="149"/>
    </row>
    <row r="425" spans="2:11" s="17" customFormat="1" x14ac:dyDescent="0.25">
      <c r="B425" s="55"/>
      <c r="C425" s="55"/>
      <c r="F425" s="66"/>
      <c r="G425" s="236"/>
      <c r="I425" s="145"/>
      <c r="J425" s="148"/>
      <c r="K425" s="149"/>
    </row>
    <row r="426" spans="2:11" s="17" customFormat="1" x14ac:dyDescent="0.25">
      <c r="B426" s="55"/>
      <c r="C426" s="55"/>
      <c r="F426" s="66"/>
      <c r="G426" s="236"/>
      <c r="I426" s="145"/>
      <c r="J426" s="148"/>
      <c r="K426" s="149"/>
    </row>
    <row r="427" spans="2:11" s="17" customFormat="1" x14ac:dyDescent="0.25">
      <c r="B427" s="55"/>
      <c r="C427" s="55"/>
      <c r="F427" s="66"/>
      <c r="G427" s="236"/>
      <c r="I427" s="145"/>
      <c r="J427" s="148"/>
      <c r="K427" s="149"/>
    </row>
    <row r="428" spans="2:11" s="17" customFormat="1" x14ac:dyDescent="0.25">
      <c r="B428" s="55"/>
      <c r="C428" s="55"/>
      <c r="F428" s="66"/>
      <c r="G428" s="236"/>
      <c r="I428" s="145"/>
      <c r="J428" s="148"/>
      <c r="K428" s="149"/>
    </row>
    <row r="429" spans="2:11" s="17" customFormat="1" x14ac:dyDescent="0.25">
      <c r="B429" s="55"/>
      <c r="C429" s="55"/>
      <c r="F429" s="66"/>
      <c r="G429" s="236"/>
      <c r="I429" s="145"/>
      <c r="J429" s="148"/>
      <c r="K429" s="149"/>
    </row>
    <row r="430" spans="2:11" s="17" customFormat="1" x14ac:dyDescent="0.25">
      <c r="B430" s="55"/>
      <c r="C430" s="55"/>
      <c r="F430" s="66"/>
      <c r="G430" s="236"/>
      <c r="I430" s="145"/>
      <c r="J430" s="148"/>
      <c r="K430" s="149"/>
    </row>
    <row r="431" spans="2:11" s="17" customFormat="1" x14ac:dyDescent="0.25">
      <c r="B431" s="55"/>
      <c r="C431" s="55"/>
      <c r="F431" s="66"/>
      <c r="G431" s="236"/>
      <c r="I431" s="145"/>
      <c r="J431" s="148"/>
      <c r="K431" s="149"/>
    </row>
    <row r="432" spans="2:11" s="17" customFormat="1" x14ac:dyDescent="0.25">
      <c r="B432" s="55"/>
      <c r="C432" s="55"/>
      <c r="F432" s="66"/>
      <c r="G432" s="236"/>
      <c r="I432" s="145"/>
      <c r="J432" s="148"/>
      <c r="K432" s="149"/>
    </row>
    <row r="433" spans="2:11" s="17" customFormat="1" x14ac:dyDescent="0.25">
      <c r="B433" s="55"/>
      <c r="C433" s="55"/>
      <c r="F433" s="66"/>
      <c r="G433" s="236"/>
      <c r="I433" s="145"/>
      <c r="J433" s="148"/>
      <c r="K433" s="149"/>
    </row>
    <row r="434" spans="2:11" s="17" customFormat="1" x14ac:dyDescent="0.25">
      <c r="B434" s="55"/>
      <c r="C434" s="55"/>
      <c r="F434" s="66"/>
      <c r="G434" s="236"/>
      <c r="I434" s="145"/>
      <c r="J434" s="148"/>
      <c r="K434" s="149"/>
    </row>
    <row r="435" spans="2:11" s="17" customFormat="1" x14ac:dyDescent="0.25">
      <c r="B435" s="55"/>
      <c r="C435" s="55"/>
      <c r="F435" s="66"/>
      <c r="G435" s="236"/>
      <c r="I435" s="145"/>
      <c r="J435" s="148"/>
      <c r="K435" s="149"/>
    </row>
    <row r="436" spans="2:11" s="17" customFormat="1" x14ac:dyDescent="0.25">
      <c r="B436" s="55"/>
      <c r="C436" s="55"/>
      <c r="F436" s="66"/>
      <c r="G436" s="236"/>
      <c r="I436" s="145"/>
      <c r="J436" s="148"/>
      <c r="K436" s="149"/>
    </row>
    <row r="437" spans="2:11" s="17" customFormat="1" x14ac:dyDescent="0.25">
      <c r="B437" s="55"/>
      <c r="C437" s="55"/>
      <c r="F437" s="66"/>
      <c r="G437" s="236"/>
      <c r="I437" s="145"/>
      <c r="J437" s="148"/>
      <c r="K437" s="149"/>
    </row>
    <row r="438" spans="2:11" s="17" customFormat="1" x14ac:dyDescent="0.25">
      <c r="B438" s="55"/>
      <c r="C438" s="55"/>
      <c r="F438" s="66"/>
      <c r="G438" s="236"/>
      <c r="I438" s="145"/>
      <c r="J438" s="148"/>
      <c r="K438" s="149"/>
    </row>
    <row r="439" spans="2:11" s="17" customFormat="1" x14ac:dyDescent="0.25">
      <c r="B439" s="55"/>
      <c r="C439" s="55"/>
      <c r="F439" s="66"/>
      <c r="G439" s="236"/>
      <c r="I439" s="145"/>
      <c r="J439" s="148"/>
      <c r="K439" s="149"/>
    </row>
    <row r="440" spans="2:11" s="17" customFormat="1" x14ac:dyDescent="0.25">
      <c r="B440" s="55"/>
      <c r="C440" s="55"/>
      <c r="F440" s="66"/>
      <c r="G440" s="236"/>
      <c r="I440" s="145"/>
      <c r="J440" s="148"/>
      <c r="K440" s="149"/>
    </row>
    <row r="441" spans="2:11" s="17" customFormat="1" x14ac:dyDescent="0.25">
      <c r="B441" s="55"/>
      <c r="C441" s="55"/>
      <c r="F441" s="66"/>
      <c r="G441" s="236"/>
      <c r="I441" s="145"/>
      <c r="J441" s="148"/>
      <c r="K441" s="149"/>
    </row>
    <row r="442" spans="2:11" s="17" customFormat="1" x14ac:dyDescent="0.25">
      <c r="B442" s="55"/>
      <c r="C442" s="55"/>
      <c r="F442" s="66"/>
      <c r="G442" s="236"/>
      <c r="I442" s="145"/>
      <c r="J442" s="148"/>
      <c r="K442" s="149"/>
    </row>
    <row r="443" spans="2:11" s="17" customFormat="1" x14ac:dyDescent="0.25">
      <c r="B443" s="55"/>
      <c r="C443" s="55"/>
      <c r="F443" s="66"/>
      <c r="G443" s="236"/>
      <c r="I443" s="145"/>
      <c r="J443" s="148"/>
      <c r="K443" s="149"/>
    </row>
    <row r="444" spans="2:11" s="17" customFormat="1" x14ac:dyDescent="0.25">
      <c r="B444" s="55"/>
      <c r="C444" s="55"/>
      <c r="F444" s="66"/>
      <c r="G444" s="236"/>
      <c r="I444" s="145"/>
      <c r="J444" s="148"/>
      <c r="K444" s="149"/>
    </row>
    <row r="445" spans="2:11" s="17" customFormat="1" x14ac:dyDescent="0.25">
      <c r="B445" s="55"/>
      <c r="C445" s="55"/>
      <c r="F445" s="66"/>
      <c r="G445" s="236"/>
      <c r="I445" s="145"/>
      <c r="J445" s="148"/>
      <c r="K445" s="149"/>
    </row>
    <row r="446" spans="2:11" s="17" customFormat="1" x14ac:dyDescent="0.25">
      <c r="B446" s="55"/>
      <c r="C446" s="55"/>
      <c r="F446" s="66"/>
      <c r="G446" s="236"/>
      <c r="I446" s="145"/>
      <c r="J446" s="148"/>
      <c r="K446" s="149"/>
    </row>
    <row r="447" spans="2:11" s="17" customFormat="1" x14ac:dyDescent="0.25">
      <c r="B447" s="55"/>
      <c r="C447" s="55"/>
      <c r="F447" s="66"/>
      <c r="G447" s="236"/>
      <c r="I447" s="145"/>
      <c r="J447" s="148"/>
      <c r="K447" s="149"/>
    </row>
    <row r="448" spans="2:11" s="17" customFormat="1" x14ac:dyDescent="0.25">
      <c r="B448" s="55"/>
      <c r="C448" s="55"/>
      <c r="F448" s="66"/>
      <c r="G448" s="236"/>
      <c r="I448" s="145"/>
      <c r="J448" s="148"/>
      <c r="K448" s="149"/>
    </row>
    <row r="449" spans="2:11" s="17" customFormat="1" x14ac:dyDescent="0.25">
      <c r="B449" s="55"/>
      <c r="C449" s="55"/>
      <c r="F449" s="66"/>
      <c r="G449" s="236"/>
      <c r="I449" s="145"/>
      <c r="J449" s="148"/>
      <c r="K449" s="149"/>
    </row>
    <row r="450" spans="2:11" s="17" customFormat="1" x14ac:dyDescent="0.25">
      <c r="B450" s="55"/>
      <c r="C450" s="55"/>
      <c r="F450" s="66"/>
      <c r="G450" s="236"/>
      <c r="I450" s="145"/>
      <c r="J450" s="148"/>
      <c r="K450" s="149"/>
    </row>
    <row r="451" spans="2:11" s="17" customFormat="1" x14ac:dyDescent="0.25">
      <c r="B451" s="55"/>
      <c r="C451" s="55"/>
      <c r="F451" s="66"/>
      <c r="G451" s="236"/>
      <c r="I451" s="145"/>
      <c r="J451" s="148"/>
      <c r="K451" s="149"/>
    </row>
    <row r="452" spans="2:11" s="17" customFormat="1" x14ac:dyDescent="0.25">
      <c r="B452" s="55"/>
      <c r="C452" s="55"/>
      <c r="F452" s="66"/>
      <c r="G452" s="236"/>
      <c r="I452" s="145"/>
      <c r="J452" s="148"/>
      <c r="K452" s="149"/>
    </row>
    <row r="453" spans="2:11" s="17" customFormat="1" x14ac:dyDescent="0.25">
      <c r="B453" s="55"/>
      <c r="C453" s="55"/>
      <c r="F453" s="66"/>
      <c r="G453" s="236"/>
      <c r="I453" s="145"/>
      <c r="J453" s="148"/>
      <c r="K453" s="149"/>
    </row>
    <row r="454" spans="2:11" s="17" customFormat="1" x14ac:dyDescent="0.25">
      <c r="B454" s="55"/>
      <c r="C454" s="55"/>
      <c r="F454" s="66"/>
      <c r="G454" s="236"/>
      <c r="I454" s="145"/>
      <c r="J454" s="148"/>
      <c r="K454" s="149"/>
    </row>
    <row r="455" spans="2:11" s="17" customFormat="1" x14ac:dyDescent="0.25">
      <c r="B455" s="55"/>
      <c r="C455" s="55"/>
      <c r="F455" s="66"/>
      <c r="G455" s="236"/>
      <c r="I455" s="145"/>
      <c r="J455" s="148"/>
      <c r="K455" s="149"/>
    </row>
    <row r="456" spans="2:11" s="17" customFormat="1" x14ac:dyDescent="0.25">
      <c r="B456" s="55"/>
      <c r="C456" s="55"/>
      <c r="F456" s="66"/>
      <c r="G456" s="236"/>
      <c r="I456" s="145"/>
      <c r="J456" s="148"/>
      <c r="K456" s="149"/>
    </row>
    <row r="457" spans="2:11" s="17" customFormat="1" x14ac:dyDescent="0.25">
      <c r="B457" s="55"/>
      <c r="C457" s="55"/>
      <c r="F457" s="66"/>
      <c r="G457" s="236"/>
      <c r="I457" s="145"/>
      <c r="J457" s="148"/>
      <c r="K457" s="149"/>
    </row>
    <row r="458" spans="2:11" s="17" customFormat="1" x14ac:dyDescent="0.25">
      <c r="B458" s="55"/>
      <c r="C458" s="55"/>
      <c r="F458" s="66"/>
      <c r="G458" s="236"/>
      <c r="I458" s="145"/>
      <c r="J458" s="148"/>
      <c r="K458" s="149"/>
    </row>
    <row r="459" spans="2:11" s="17" customFormat="1" x14ac:dyDescent="0.25">
      <c r="B459" s="55"/>
      <c r="C459" s="55"/>
      <c r="F459" s="66"/>
      <c r="G459" s="236"/>
      <c r="I459" s="145"/>
      <c r="J459" s="148"/>
      <c r="K459" s="149"/>
    </row>
    <row r="460" spans="2:11" s="17" customFormat="1" x14ac:dyDescent="0.25">
      <c r="B460" s="55"/>
      <c r="C460" s="55"/>
      <c r="F460" s="66"/>
      <c r="G460" s="236"/>
      <c r="I460" s="145"/>
      <c r="J460" s="148"/>
      <c r="K460" s="149"/>
    </row>
    <row r="461" spans="2:11" s="17" customFormat="1" x14ac:dyDescent="0.25">
      <c r="B461" s="55"/>
      <c r="C461" s="55"/>
      <c r="F461" s="66"/>
      <c r="G461" s="236"/>
      <c r="I461" s="145"/>
      <c r="J461" s="148"/>
      <c r="K461" s="149"/>
    </row>
    <row r="462" spans="2:11" s="17" customFormat="1" x14ac:dyDescent="0.25">
      <c r="B462" s="55"/>
      <c r="C462" s="55"/>
      <c r="F462" s="66"/>
      <c r="G462" s="236"/>
      <c r="I462" s="145"/>
      <c r="J462" s="148"/>
      <c r="K462" s="149"/>
    </row>
    <row r="463" spans="2:11" s="17" customFormat="1" x14ac:dyDescent="0.25">
      <c r="B463" s="55"/>
      <c r="C463" s="55"/>
      <c r="F463" s="66"/>
      <c r="G463" s="236"/>
      <c r="I463" s="145"/>
      <c r="J463" s="148"/>
      <c r="K463" s="149"/>
    </row>
    <row r="464" spans="2:11" s="17" customFormat="1" x14ac:dyDescent="0.25">
      <c r="B464" s="55"/>
      <c r="C464" s="55"/>
      <c r="F464" s="66"/>
      <c r="G464" s="236"/>
      <c r="I464" s="145"/>
      <c r="J464" s="148"/>
      <c r="K464" s="149"/>
    </row>
    <row r="465" spans="2:11" s="17" customFormat="1" x14ac:dyDescent="0.25">
      <c r="B465" s="55"/>
      <c r="C465" s="55"/>
      <c r="F465" s="66"/>
      <c r="G465" s="236"/>
      <c r="I465" s="145"/>
      <c r="J465" s="148"/>
      <c r="K465" s="149"/>
    </row>
    <row r="466" spans="2:11" s="17" customFormat="1" x14ac:dyDescent="0.25">
      <c r="B466" s="55"/>
      <c r="C466" s="55"/>
      <c r="F466" s="66"/>
      <c r="G466" s="236"/>
      <c r="I466" s="145"/>
      <c r="J466" s="148"/>
      <c r="K466" s="149"/>
    </row>
    <row r="467" spans="2:11" s="17" customFormat="1" x14ac:dyDescent="0.25">
      <c r="B467" s="55"/>
      <c r="C467" s="55"/>
      <c r="F467" s="66"/>
      <c r="G467" s="236"/>
      <c r="I467" s="145"/>
      <c r="J467" s="148"/>
      <c r="K467" s="149"/>
    </row>
    <row r="468" spans="2:11" s="17" customFormat="1" x14ac:dyDescent="0.25">
      <c r="B468" s="55"/>
      <c r="C468" s="55"/>
      <c r="F468" s="66"/>
      <c r="G468" s="236"/>
      <c r="I468" s="145"/>
      <c r="J468" s="148"/>
      <c r="K468" s="149"/>
    </row>
    <row r="469" spans="2:11" s="17" customFormat="1" x14ac:dyDescent="0.25">
      <c r="B469" s="55"/>
      <c r="C469" s="55"/>
      <c r="F469" s="66"/>
      <c r="G469" s="236"/>
      <c r="I469" s="145"/>
      <c r="J469" s="148"/>
      <c r="K469" s="149"/>
    </row>
    <row r="470" spans="2:11" s="17" customFormat="1" x14ac:dyDescent="0.25">
      <c r="B470" s="55"/>
      <c r="C470" s="55"/>
      <c r="F470" s="66"/>
      <c r="G470" s="236"/>
      <c r="I470" s="145"/>
      <c r="J470" s="148"/>
      <c r="K470" s="149"/>
    </row>
    <row r="471" spans="2:11" s="17" customFormat="1" x14ac:dyDescent="0.25">
      <c r="B471" s="55"/>
      <c r="C471" s="55"/>
      <c r="F471" s="66"/>
      <c r="G471" s="236"/>
      <c r="I471" s="145"/>
      <c r="J471" s="148"/>
      <c r="K471" s="149"/>
    </row>
    <row r="472" spans="2:11" s="17" customFormat="1" x14ac:dyDescent="0.25">
      <c r="B472" s="55"/>
      <c r="C472" s="55"/>
      <c r="F472" s="66"/>
      <c r="G472" s="236"/>
      <c r="I472" s="145"/>
      <c r="J472" s="148"/>
      <c r="K472" s="149"/>
    </row>
    <row r="473" spans="2:11" s="17" customFormat="1" x14ac:dyDescent="0.25">
      <c r="B473" s="55"/>
      <c r="C473" s="55"/>
      <c r="F473" s="66"/>
      <c r="G473" s="236"/>
      <c r="I473" s="145"/>
      <c r="J473" s="148"/>
      <c r="K473" s="149"/>
    </row>
    <row r="474" spans="2:11" s="17" customFormat="1" x14ac:dyDescent="0.25">
      <c r="B474" s="55"/>
      <c r="C474" s="55"/>
      <c r="F474" s="66"/>
      <c r="G474" s="236"/>
      <c r="I474" s="145"/>
      <c r="J474" s="148"/>
      <c r="K474" s="149"/>
    </row>
    <row r="475" spans="2:11" s="17" customFormat="1" x14ac:dyDescent="0.25">
      <c r="B475" s="55"/>
      <c r="C475" s="55"/>
      <c r="F475" s="66"/>
      <c r="G475" s="236"/>
      <c r="I475" s="145"/>
      <c r="J475" s="148"/>
      <c r="K475" s="149"/>
    </row>
    <row r="476" spans="2:11" s="17" customFormat="1" x14ac:dyDescent="0.25">
      <c r="B476" s="55"/>
      <c r="C476" s="55"/>
      <c r="F476" s="66"/>
      <c r="G476" s="236"/>
      <c r="I476" s="145"/>
      <c r="J476" s="148"/>
      <c r="K476" s="149"/>
    </row>
    <row r="477" spans="2:11" s="17" customFormat="1" x14ac:dyDescent="0.25">
      <c r="B477" s="55"/>
      <c r="C477" s="55"/>
      <c r="F477" s="66"/>
      <c r="G477" s="236"/>
      <c r="I477" s="145"/>
      <c r="J477" s="148"/>
      <c r="K477" s="149"/>
    </row>
    <row r="478" spans="2:11" s="17" customFormat="1" x14ac:dyDescent="0.25">
      <c r="B478" s="55"/>
      <c r="C478" s="55"/>
      <c r="F478" s="66"/>
      <c r="G478" s="236"/>
      <c r="I478" s="145"/>
      <c r="J478" s="148"/>
      <c r="K478" s="149"/>
    </row>
    <row r="479" spans="2:11" s="17" customFormat="1" x14ac:dyDescent="0.25">
      <c r="B479" s="55"/>
      <c r="C479" s="55"/>
      <c r="F479" s="66"/>
      <c r="G479" s="236"/>
      <c r="I479" s="145"/>
      <c r="J479" s="148"/>
      <c r="K479" s="149"/>
    </row>
    <row r="480" spans="2:11" s="17" customFormat="1" x14ac:dyDescent="0.25">
      <c r="B480" s="55"/>
      <c r="C480" s="55"/>
      <c r="F480" s="66"/>
      <c r="G480" s="236"/>
      <c r="I480" s="145"/>
      <c r="J480" s="148"/>
      <c r="K480" s="149"/>
    </row>
    <row r="481" spans="2:11" s="17" customFormat="1" x14ac:dyDescent="0.25">
      <c r="B481" s="55"/>
      <c r="C481" s="55"/>
      <c r="F481" s="66"/>
      <c r="G481" s="236"/>
      <c r="I481" s="145"/>
      <c r="J481" s="148"/>
      <c r="K481" s="149"/>
    </row>
    <row r="482" spans="2:11" s="17" customFormat="1" x14ac:dyDescent="0.25">
      <c r="B482" s="55"/>
      <c r="C482" s="55"/>
      <c r="F482" s="66"/>
      <c r="G482" s="236"/>
      <c r="I482" s="145"/>
      <c r="J482" s="148"/>
      <c r="K482" s="149"/>
    </row>
    <row r="483" spans="2:11" s="17" customFormat="1" x14ac:dyDescent="0.25">
      <c r="B483" s="55"/>
      <c r="C483" s="55"/>
      <c r="F483" s="66"/>
      <c r="G483" s="236"/>
      <c r="I483" s="145"/>
      <c r="J483" s="148"/>
      <c r="K483" s="149"/>
    </row>
    <row r="484" spans="2:11" s="17" customFormat="1" x14ac:dyDescent="0.25">
      <c r="B484" s="55"/>
      <c r="C484" s="55"/>
      <c r="F484" s="66"/>
      <c r="G484" s="236"/>
      <c r="I484" s="145"/>
      <c r="J484" s="148"/>
      <c r="K484" s="149"/>
    </row>
    <row r="485" spans="2:11" s="17" customFormat="1" x14ac:dyDescent="0.25">
      <c r="B485" s="55"/>
      <c r="C485" s="55"/>
      <c r="F485" s="66"/>
      <c r="G485" s="236"/>
      <c r="I485" s="145"/>
      <c r="J485" s="148"/>
      <c r="K485" s="149"/>
    </row>
    <row r="486" spans="2:11" s="17" customFormat="1" x14ac:dyDescent="0.25">
      <c r="B486" s="55"/>
      <c r="C486" s="55"/>
      <c r="F486" s="66"/>
      <c r="G486" s="236"/>
      <c r="I486" s="145"/>
      <c r="J486" s="148"/>
      <c r="K486" s="149"/>
    </row>
    <row r="487" spans="2:11" s="17" customFormat="1" x14ac:dyDescent="0.25">
      <c r="B487" s="55"/>
      <c r="C487" s="55"/>
      <c r="F487" s="66"/>
      <c r="G487" s="236"/>
      <c r="I487" s="145"/>
      <c r="J487" s="148"/>
      <c r="K487" s="149"/>
    </row>
    <row r="488" spans="2:11" s="17" customFormat="1" x14ac:dyDescent="0.25">
      <c r="B488" s="55"/>
      <c r="C488" s="55"/>
      <c r="F488" s="66"/>
      <c r="G488" s="236"/>
      <c r="I488" s="145"/>
      <c r="J488" s="148"/>
      <c r="K488" s="149"/>
    </row>
    <row r="489" spans="2:11" s="17" customFormat="1" x14ac:dyDescent="0.25">
      <c r="B489" s="55"/>
      <c r="C489" s="55"/>
      <c r="F489" s="66"/>
      <c r="G489" s="236"/>
      <c r="I489" s="145"/>
      <c r="J489" s="148"/>
      <c r="K489" s="149"/>
    </row>
    <row r="490" spans="2:11" s="17" customFormat="1" x14ac:dyDescent="0.25">
      <c r="B490" s="55"/>
      <c r="C490" s="55"/>
      <c r="F490" s="66"/>
      <c r="G490" s="236"/>
      <c r="I490" s="145"/>
      <c r="J490" s="148"/>
      <c r="K490" s="149"/>
    </row>
    <row r="491" spans="2:11" s="17" customFormat="1" x14ac:dyDescent="0.25">
      <c r="B491" s="55"/>
      <c r="C491" s="55"/>
      <c r="F491" s="66"/>
      <c r="G491" s="236"/>
      <c r="I491" s="145"/>
      <c r="J491" s="148"/>
      <c r="K491" s="149"/>
    </row>
    <row r="492" spans="2:11" s="17" customFormat="1" x14ac:dyDescent="0.25">
      <c r="B492" s="55"/>
      <c r="C492" s="55"/>
      <c r="F492" s="66"/>
      <c r="G492" s="236"/>
      <c r="I492" s="145"/>
      <c r="J492" s="148"/>
      <c r="K492" s="149"/>
    </row>
    <row r="493" spans="2:11" s="17" customFormat="1" x14ac:dyDescent="0.25">
      <c r="B493" s="55"/>
      <c r="C493" s="55"/>
      <c r="F493" s="66"/>
      <c r="G493" s="236"/>
      <c r="I493" s="145"/>
      <c r="J493" s="148"/>
      <c r="K493" s="149"/>
    </row>
    <row r="494" spans="2:11" s="17" customFormat="1" x14ac:dyDescent="0.25">
      <c r="B494" s="55"/>
      <c r="C494" s="55"/>
      <c r="F494" s="66"/>
      <c r="G494" s="236"/>
      <c r="I494" s="145"/>
      <c r="J494" s="148"/>
      <c r="K494" s="149"/>
    </row>
    <row r="495" spans="2:11" s="17" customFormat="1" x14ac:dyDescent="0.25">
      <c r="B495" s="55"/>
      <c r="C495" s="55"/>
      <c r="F495" s="66"/>
      <c r="G495" s="236"/>
      <c r="I495" s="145"/>
      <c r="J495" s="148"/>
      <c r="K495" s="149"/>
    </row>
    <row r="496" spans="2:11" s="17" customFormat="1" x14ac:dyDescent="0.25">
      <c r="B496" s="55"/>
      <c r="C496" s="55"/>
      <c r="F496" s="66"/>
      <c r="G496" s="236"/>
      <c r="I496" s="145"/>
      <c r="J496" s="148"/>
      <c r="K496" s="149"/>
    </row>
    <row r="497" spans="2:11" s="17" customFormat="1" x14ac:dyDescent="0.25">
      <c r="B497" s="55"/>
      <c r="C497" s="55"/>
      <c r="F497" s="66"/>
      <c r="G497" s="236"/>
      <c r="I497" s="145"/>
      <c r="J497" s="148"/>
      <c r="K497" s="149"/>
    </row>
    <row r="498" spans="2:11" s="17" customFormat="1" x14ac:dyDescent="0.25">
      <c r="B498" s="55"/>
      <c r="C498" s="55"/>
      <c r="F498" s="66"/>
      <c r="G498" s="236"/>
      <c r="I498" s="145"/>
      <c r="J498" s="148"/>
      <c r="K498" s="149"/>
    </row>
    <row r="499" spans="2:11" s="17" customFormat="1" x14ac:dyDescent="0.25">
      <c r="B499" s="55"/>
      <c r="C499" s="55"/>
      <c r="F499" s="66"/>
      <c r="G499" s="236"/>
      <c r="I499" s="145"/>
      <c r="J499" s="148"/>
      <c r="K499" s="149"/>
    </row>
    <row r="500" spans="2:11" s="17" customFormat="1" x14ac:dyDescent="0.25">
      <c r="B500" s="55"/>
      <c r="C500" s="55"/>
      <c r="F500" s="66"/>
      <c r="G500" s="236"/>
      <c r="I500" s="145"/>
      <c r="J500" s="148"/>
      <c r="K500" s="149"/>
    </row>
    <row r="501" spans="2:11" s="17" customFormat="1" x14ac:dyDescent="0.25">
      <c r="B501" s="55"/>
      <c r="C501" s="55"/>
      <c r="F501" s="66"/>
      <c r="G501" s="236"/>
      <c r="I501" s="145"/>
      <c r="J501" s="148"/>
      <c r="K501" s="149"/>
    </row>
    <row r="502" spans="2:11" s="17" customFormat="1" x14ac:dyDescent="0.25">
      <c r="B502" s="55"/>
      <c r="C502" s="55"/>
      <c r="F502" s="66"/>
      <c r="G502" s="236"/>
      <c r="I502" s="145"/>
      <c r="J502" s="148"/>
      <c r="K502" s="149"/>
    </row>
    <row r="503" spans="2:11" s="17" customFormat="1" x14ac:dyDescent="0.25">
      <c r="B503" s="55"/>
      <c r="C503" s="55"/>
      <c r="F503" s="66"/>
      <c r="G503" s="236"/>
      <c r="I503" s="145"/>
      <c r="J503" s="148"/>
      <c r="K503" s="149"/>
    </row>
    <row r="504" spans="2:11" s="17" customFormat="1" x14ac:dyDescent="0.25">
      <c r="B504" s="55"/>
      <c r="C504" s="55"/>
      <c r="F504" s="66"/>
      <c r="G504" s="236"/>
      <c r="I504" s="145"/>
      <c r="J504" s="148"/>
      <c r="K504" s="149"/>
    </row>
    <row r="505" spans="2:11" s="17" customFormat="1" x14ac:dyDescent="0.25">
      <c r="B505" s="55"/>
      <c r="C505" s="55"/>
      <c r="F505" s="66"/>
      <c r="G505" s="236"/>
      <c r="I505" s="145"/>
      <c r="J505" s="148"/>
      <c r="K505" s="149"/>
    </row>
    <row r="506" spans="2:11" s="17" customFormat="1" x14ac:dyDescent="0.25">
      <c r="B506" s="55"/>
      <c r="C506" s="55"/>
      <c r="F506" s="66"/>
      <c r="G506" s="236"/>
      <c r="I506" s="145"/>
      <c r="J506" s="148"/>
      <c r="K506" s="149"/>
    </row>
    <row r="507" spans="2:11" s="17" customFormat="1" x14ac:dyDescent="0.25">
      <c r="B507" s="55"/>
      <c r="C507" s="55"/>
      <c r="F507" s="66"/>
      <c r="G507" s="236"/>
      <c r="I507" s="145"/>
      <c r="J507" s="148"/>
      <c r="K507" s="149"/>
    </row>
    <row r="508" spans="2:11" s="17" customFormat="1" x14ac:dyDescent="0.25">
      <c r="B508" s="55"/>
      <c r="C508" s="55"/>
      <c r="F508" s="66"/>
      <c r="G508" s="236"/>
      <c r="I508" s="145"/>
      <c r="J508" s="148"/>
      <c r="K508" s="149"/>
    </row>
    <row r="509" spans="2:11" s="17" customFormat="1" x14ac:dyDescent="0.25">
      <c r="B509" s="55"/>
      <c r="C509" s="55"/>
      <c r="F509" s="66"/>
      <c r="G509" s="236"/>
      <c r="I509" s="145"/>
      <c r="J509" s="148"/>
      <c r="K509" s="149"/>
    </row>
    <row r="510" spans="2:11" s="17" customFormat="1" x14ac:dyDescent="0.25">
      <c r="B510" s="55"/>
      <c r="C510" s="55"/>
      <c r="F510" s="66"/>
      <c r="G510" s="236"/>
      <c r="I510" s="145"/>
      <c r="J510" s="148"/>
      <c r="K510" s="149"/>
    </row>
    <row r="511" spans="2:11" s="17" customFormat="1" x14ac:dyDescent="0.25">
      <c r="B511" s="55"/>
      <c r="C511" s="55"/>
      <c r="F511" s="66"/>
      <c r="G511" s="236"/>
      <c r="I511" s="145"/>
      <c r="J511" s="148"/>
      <c r="K511" s="149"/>
    </row>
    <row r="512" spans="2:11" s="17" customFormat="1" x14ac:dyDescent="0.25">
      <c r="B512" s="55"/>
      <c r="C512" s="55"/>
      <c r="F512" s="66"/>
      <c r="G512" s="236"/>
      <c r="I512" s="145"/>
      <c r="J512" s="148"/>
      <c r="K512" s="149"/>
    </row>
    <row r="513" spans="2:11" s="17" customFormat="1" x14ac:dyDescent="0.25">
      <c r="B513" s="55"/>
      <c r="C513" s="55"/>
      <c r="F513" s="66"/>
      <c r="G513" s="236"/>
      <c r="I513" s="145"/>
      <c r="J513" s="148"/>
      <c r="K513" s="149"/>
    </row>
    <row r="514" spans="2:11" s="17" customFormat="1" x14ac:dyDescent="0.25">
      <c r="B514" s="55"/>
      <c r="C514" s="55"/>
      <c r="F514" s="66"/>
      <c r="G514" s="236"/>
      <c r="I514" s="145"/>
      <c r="J514" s="148"/>
      <c r="K514" s="149"/>
    </row>
    <row r="515" spans="2:11" s="17" customFormat="1" x14ac:dyDescent="0.25">
      <c r="B515" s="55"/>
      <c r="C515" s="55"/>
      <c r="F515" s="66"/>
      <c r="G515" s="236"/>
      <c r="I515" s="145"/>
      <c r="J515" s="148"/>
      <c r="K515" s="149"/>
    </row>
    <row r="516" spans="2:11" s="17" customFormat="1" x14ac:dyDescent="0.25">
      <c r="B516" s="55"/>
      <c r="C516" s="55"/>
      <c r="F516" s="66"/>
      <c r="G516" s="236"/>
      <c r="I516" s="145"/>
      <c r="J516" s="148"/>
      <c r="K516" s="149"/>
    </row>
    <row r="517" spans="2:11" s="17" customFormat="1" x14ac:dyDescent="0.25">
      <c r="B517" s="55"/>
      <c r="C517" s="55"/>
      <c r="F517" s="66"/>
      <c r="G517" s="236"/>
      <c r="I517" s="145"/>
      <c r="J517" s="148"/>
      <c r="K517" s="149"/>
    </row>
    <row r="518" spans="2:11" s="17" customFormat="1" x14ac:dyDescent="0.25">
      <c r="B518" s="55"/>
      <c r="C518" s="55"/>
      <c r="F518" s="66"/>
      <c r="G518" s="236"/>
      <c r="I518" s="145"/>
      <c r="J518" s="148"/>
      <c r="K518" s="149"/>
    </row>
    <row r="519" spans="2:11" s="17" customFormat="1" x14ac:dyDescent="0.25">
      <c r="B519" s="55"/>
      <c r="C519" s="55"/>
      <c r="F519" s="66"/>
      <c r="G519" s="236"/>
      <c r="I519" s="145"/>
      <c r="J519" s="148"/>
      <c r="K519" s="149"/>
    </row>
    <row r="520" spans="2:11" s="17" customFormat="1" x14ac:dyDescent="0.25">
      <c r="B520" s="55"/>
      <c r="C520" s="55"/>
      <c r="F520" s="66"/>
      <c r="G520" s="236"/>
      <c r="I520" s="145"/>
      <c r="J520" s="148"/>
      <c r="K520" s="149"/>
    </row>
    <row r="521" spans="2:11" s="17" customFormat="1" x14ac:dyDescent="0.25">
      <c r="B521" s="55"/>
      <c r="C521" s="55"/>
      <c r="F521" s="66"/>
      <c r="G521" s="236"/>
      <c r="I521" s="145"/>
      <c r="J521" s="148"/>
      <c r="K521" s="149"/>
    </row>
    <row r="522" spans="2:11" s="17" customFormat="1" x14ac:dyDescent="0.25">
      <c r="B522" s="55"/>
      <c r="C522" s="55"/>
      <c r="F522" s="66"/>
      <c r="G522" s="236"/>
      <c r="I522" s="145"/>
      <c r="J522" s="148"/>
      <c r="K522" s="149"/>
    </row>
    <row r="523" spans="2:11" s="17" customFormat="1" x14ac:dyDescent="0.25">
      <c r="B523" s="55"/>
      <c r="C523" s="55"/>
      <c r="F523" s="66"/>
      <c r="G523" s="236"/>
      <c r="I523" s="145"/>
      <c r="J523" s="148"/>
      <c r="K523" s="149"/>
    </row>
    <row r="524" spans="2:11" s="17" customFormat="1" x14ac:dyDescent="0.25">
      <c r="B524" s="55"/>
      <c r="C524" s="55"/>
      <c r="F524" s="66"/>
      <c r="G524" s="236"/>
      <c r="I524" s="145"/>
      <c r="J524" s="148"/>
      <c r="K524" s="149"/>
    </row>
    <row r="525" spans="2:11" s="17" customFormat="1" x14ac:dyDescent="0.25">
      <c r="B525" s="55"/>
      <c r="C525" s="55"/>
      <c r="F525" s="66"/>
      <c r="G525" s="236"/>
      <c r="I525" s="145"/>
      <c r="J525" s="148"/>
      <c r="K525" s="149"/>
    </row>
    <row r="526" spans="2:11" s="17" customFormat="1" x14ac:dyDescent="0.25">
      <c r="B526" s="55"/>
      <c r="C526" s="55"/>
      <c r="F526" s="66"/>
      <c r="G526" s="236"/>
      <c r="I526" s="145"/>
      <c r="J526" s="148"/>
      <c r="K526" s="149"/>
    </row>
    <row r="527" spans="2:11" s="17" customFormat="1" x14ac:dyDescent="0.25">
      <c r="B527" s="55"/>
      <c r="C527" s="55"/>
      <c r="F527" s="66"/>
      <c r="G527" s="236"/>
      <c r="I527" s="145"/>
      <c r="J527" s="148"/>
      <c r="K527" s="149"/>
    </row>
    <row r="528" spans="2:11" s="17" customFormat="1" x14ac:dyDescent="0.25">
      <c r="B528" s="55"/>
      <c r="C528" s="55"/>
      <c r="F528" s="66"/>
      <c r="G528" s="236"/>
      <c r="I528" s="145"/>
      <c r="J528" s="148"/>
      <c r="K528" s="149"/>
    </row>
    <row r="529" spans="2:11" s="17" customFormat="1" x14ac:dyDescent="0.25">
      <c r="B529" s="55"/>
      <c r="C529" s="55"/>
      <c r="F529" s="66"/>
      <c r="G529" s="236"/>
      <c r="I529" s="145"/>
      <c r="J529" s="148"/>
      <c r="K529" s="149"/>
    </row>
    <row r="530" spans="2:11" s="17" customFormat="1" x14ac:dyDescent="0.25">
      <c r="B530" s="55"/>
      <c r="C530" s="55"/>
      <c r="F530" s="66"/>
      <c r="G530" s="236"/>
      <c r="I530" s="145"/>
      <c r="J530" s="148"/>
      <c r="K530" s="149"/>
    </row>
    <row r="531" spans="2:11" s="17" customFormat="1" x14ac:dyDescent="0.25">
      <c r="B531" s="55"/>
      <c r="C531" s="55"/>
      <c r="F531" s="66"/>
      <c r="G531" s="236"/>
      <c r="I531" s="145"/>
      <c r="J531" s="148"/>
      <c r="K531" s="149"/>
    </row>
    <row r="532" spans="2:11" s="17" customFormat="1" x14ac:dyDescent="0.25">
      <c r="B532" s="55"/>
      <c r="C532" s="55"/>
      <c r="F532" s="66"/>
      <c r="G532" s="236"/>
      <c r="I532" s="145"/>
      <c r="J532" s="148"/>
      <c r="K532" s="149"/>
    </row>
    <row r="533" spans="2:11" s="17" customFormat="1" x14ac:dyDescent="0.25">
      <c r="B533" s="55"/>
      <c r="C533" s="55"/>
      <c r="F533" s="66"/>
      <c r="G533" s="236"/>
      <c r="I533" s="145"/>
      <c r="J533" s="148"/>
      <c r="K533" s="149"/>
    </row>
    <row r="534" spans="2:11" s="17" customFormat="1" x14ac:dyDescent="0.25">
      <c r="B534" s="55"/>
      <c r="C534" s="55"/>
      <c r="F534" s="66"/>
      <c r="G534" s="236"/>
      <c r="I534" s="145"/>
      <c r="J534" s="148"/>
      <c r="K534" s="149"/>
    </row>
    <row r="535" spans="2:11" s="17" customFormat="1" x14ac:dyDescent="0.25">
      <c r="B535" s="55"/>
      <c r="C535" s="55"/>
      <c r="F535" s="66"/>
      <c r="G535" s="236"/>
      <c r="I535" s="145"/>
      <c r="J535" s="148"/>
      <c r="K535" s="149"/>
    </row>
    <row r="536" spans="2:11" s="17" customFormat="1" x14ac:dyDescent="0.25">
      <c r="B536" s="55"/>
      <c r="C536" s="55"/>
      <c r="F536" s="66"/>
      <c r="G536" s="236"/>
      <c r="I536" s="145"/>
      <c r="J536" s="148"/>
      <c r="K536" s="149"/>
    </row>
    <row r="537" spans="2:11" s="17" customFormat="1" x14ac:dyDescent="0.25">
      <c r="B537" s="55"/>
      <c r="C537" s="55"/>
      <c r="F537" s="66"/>
      <c r="G537" s="236"/>
      <c r="I537" s="145"/>
      <c r="J537" s="148"/>
      <c r="K537" s="149"/>
    </row>
    <row r="538" spans="2:11" s="17" customFormat="1" x14ac:dyDescent="0.25">
      <c r="B538" s="55"/>
      <c r="C538" s="55"/>
      <c r="F538" s="66"/>
      <c r="G538" s="236"/>
      <c r="I538" s="145"/>
      <c r="J538" s="148"/>
      <c r="K538" s="149"/>
    </row>
    <row r="539" spans="2:11" s="17" customFormat="1" x14ac:dyDescent="0.25">
      <c r="B539" s="55"/>
      <c r="C539" s="55"/>
      <c r="F539" s="66"/>
      <c r="G539" s="236"/>
      <c r="I539" s="145"/>
      <c r="J539" s="148"/>
      <c r="K539" s="149"/>
    </row>
    <row r="540" spans="2:11" s="17" customFormat="1" x14ac:dyDescent="0.25">
      <c r="B540" s="55"/>
      <c r="C540" s="55"/>
      <c r="F540" s="66"/>
      <c r="G540" s="236"/>
      <c r="I540" s="145"/>
      <c r="J540" s="148"/>
      <c r="K540" s="149"/>
    </row>
    <row r="541" spans="2:11" s="17" customFormat="1" x14ac:dyDescent="0.25">
      <c r="B541" s="55"/>
      <c r="C541" s="55"/>
      <c r="F541" s="66"/>
      <c r="G541" s="236"/>
      <c r="I541" s="145"/>
      <c r="J541" s="148"/>
      <c r="K541" s="149"/>
    </row>
    <row r="542" spans="2:11" s="17" customFormat="1" x14ac:dyDescent="0.25">
      <c r="B542" s="55"/>
      <c r="C542" s="55"/>
      <c r="F542" s="66"/>
      <c r="G542" s="236"/>
      <c r="I542" s="145"/>
      <c r="J542" s="148"/>
      <c r="K542" s="149"/>
    </row>
    <row r="543" spans="2:11" s="17" customFormat="1" x14ac:dyDescent="0.25">
      <c r="B543" s="55"/>
      <c r="C543" s="55"/>
      <c r="F543" s="66"/>
      <c r="G543" s="236"/>
      <c r="I543" s="145"/>
      <c r="J543" s="148"/>
      <c r="K543" s="149"/>
    </row>
    <row r="544" spans="2:11" s="17" customFormat="1" x14ac:dyDescent="0.25">
      <c r="B544" s="55"/>
      <c r="C544" s="55"/>
      <c r="F544" s="66"/>
      <c r="G544" s="236"/>
      <c r="I544" s="145"/>
      <c r="J544" s="148"/>
      <c r="K544" s="149"/>
    </row>
    <row r="545" spans="2:11" s="17" customFormat="1" x14ac:dyDescent="0.25">
      <c r="B545" s="55"/>
      <c r="C545" s="55"/>
      <c r="F545" s="66"/>
      <c r="G545" s="236"/>
      <c r="I545" s="145"/>
      <c r="J545" s="148"/>
      <c r="K545" s="149"/>
    </row>
    <row r="546" spans="2:11" s="17" customFormat="1" x14ac:dyDescent="0.25">
      <c r="B546" s="55"/>
      <c r="C546" s="55"/>
      <c r="F546" s="66"/>
      <c r="G546" s="236"/>
      <c r="I546" s="145"/>
      <c r="J546" s="148"/>
      <c r="K546" s="149"/>
    </row>
    <row r="547" spans="2:11" s="17" customFormat="1" x14ac:dyDescent="0.25">
      <c r="B547" s="55"/>
      <c r="C547" s="55"/>
      <c r="F547" s="66"/>
      <c r="G547" s="236"/>
      <c r="I547" s="145"/>
      <c r="J547" s="148"/>
      <c r="K547" s="149"/>
    </row>
    <row r="548" spans="2:11" s="17" customFormat="1" x14ac:dyDescent="0.25">
      <c r="B548" s="55"/>
      <c r="C548" s="55"/>
      <c r="F548" s="66"/>
      <c r="G548" s="236"/>
      <c r="I548" s="145"/>
      <c r="J548" s="148"/>
      <c r="K548" s="149"/>
    </row>
    <row r="549" spans="2:11" s="17" customFormat="1" x14ac:dyDescent="0.25">
      <c r="B549" s="55"/>
      <c r="C549" s="55"/>
      <c r="F549" s="66"/>
      <c r="G549" s="236"/>
      <c r="I549" s="145"/>
      <c r="J549" s="148"/>
      <c r="K549" s="149"/>
    </row>
    <row r="550" spans="2:11" s="17" customFormat="1" x14ac:dyDescent="0.25">
      <c r="B550" s="55"/>
      <c r="C550" s="55"/>
      <c r="F550" s="66"/>
      <c r="G550" s="236"/>
      <c r="I550" s="145"/>
      <c r="J550" s="148"/>
      <c r="K550" s="149"/>
    </row>
    <row r="551" spans="2:11" s="17" customFormat="1" x14ac:dyDescent="0.25">
      <c r="B551" s="55"/>
      <c r="C551" s="55"/>
      <c r="F551" s="66"/>
      <c r="G551" s="236"/>
      <c r="I551" s="145"/>
      <c r="J551" s="148"/>
      <c r="K551" s="149"/>
    </row>
    <row r="552" spans="2:11" s="17" customFormat="1" x14ac:dyDescent="0.25">
      <c r="B552" s="55"/>
      <c r="C552" s="55"/>
      <c r="F552" s="66"/>
      <c r="G552" s="236"/>
      <c r="I552" s="145"/>
      <c r="J552" s="148"/>
      <c r="K552" s="149"/>
    </row>
    <row r="553" spans="2:11" s="17" customFormat="1" x14ac:dyDescent="0.25">
      <c r="B553" s="55"/>
      <c r="C553" s="55"/>
      <c r="F553" s="66"/>
      <c r="G553" s="236"/>
      <c r="I553" s="145"/>
      <c r="J553" s="148"/>
      <c r="K553" s="149"/>
    </row>
    <row r="554" spans="2:11" s="17" customFormat="1" x14ac:dyDescent="0.25">
      <c r="B554" s="55"/>
      <c r="C554" s="55"/>
      <c r="F554" s="66"/>
      <c r="G554" s="236"/>
      <c r="I554" s="145"/>
      <c r="J554" s="148"/>
      <c r="K554" s="149"/>
    </row>
    <row r="555" spans="2:11" s="17" customFormat="1" x14ac:dyDescent="0.25">
      <c r="B555" s="55"/>
      <c r="C555" s="55"/>
      <c r="F555" s="66"/>
      <c r="G555" s="236"/>
      <c r="I555" s="145"/>
      <c r="J555" s="148"/>
      <c r="K555" s="149"/>
    </row>
    <row r="556" spans="2:11" s="17" customFormat="1" x14ac:dyDescent="0.25">
      <c r="B556" s="55"/>
      <c r="C556" s="55"/>
      <c r="F556" s="66"/>
      <c r="G556" s="236"/>
      <c r="I556" s="145"/>
      <c r="J556" s="148"/>
      <c r="K556" s="149"/>
    </row>
    <row r="557" spans="2:11" s="17" customFormat="1" x14ac:dyDescent="0.25">
      <c r="B557" s="55"/>
      <c r="C557" s="55"/>
      <c r="F557" s="66"/>
      <c r="G557" s="236"/>
      <c r="I557" s="145"/>
      <c r="J557" s="148"/>
      <c r="K557" s="149"/>
    </row>
    <row r="558" spans="2:11" s="17" customFormat="1" x14ac:dyDescent="0.25">
      <c r="B558" s="55"/>
      <c r="C558" s="55"/>
      <c r="F558" s="66"/>
      <c r="G558" s="236"/>
      <c r="I558" s="145"/>
      <c r="J558" s="148"/>
      <c r="K558" s="149"/>
    </row>
    <row r="559" spans="2:11" s="17" customFormat="1" x14ac:dyDescent="0.25">
      <c r="B559" s="55"/>
      <c r="C559" s="55"/>
      <c r="F559" s="66"/>
      <c r="G559" s="236"/>
      <c r="I559" s="145"/>
      <c r="J559" s="148"/>
      <c r="K559" s="149"/>
    </row>
    <row r="560" spans="2:11" s="17" customFormat="1" x14ac:dyDescent="0.25">
      <c r="B560" s="55"/>
      <c r="C560" s="55"/>
      <c r="F560" s="66"/>
      <c r="G560" s="236"/>
      <c r="I560" s="145"/>
      <c r="J560" s="148"/>
      <c r="K560" s="149"/>
    </row>
    <row r="561" spans="2:11" s="17" customFormat="1" x14ac:dyDescent="0.25">
      <c r="B561" s="55"/>
      <c r="C561" s="55"/>
      <c r="F561" s="66"/>
      <c r="G561" s="236"/>
      <c r="I561" s="145"/>
      <c r="J561" s="148"/>
      <c r="K561" s="149"/>
    </row>
    <row r="562" spans="2:11" s="17" customFormat="1" x14ac:dyDescent="0.25">
      <c r="B562" s="55"/>
      <c r="C562" s="55"/>
      <c r="F562" s="66"/>
      <c r="G562" s="236"/>
      <c r="I562" s="145"/>
      <c r="J562" s="148"/>
      <c r="K562" s="149"/>
    </row>
    <row r="563" spans="2:11" s="17" customFormat="1" x14ac:dyDescent="0.25">
      <c r="B563" s="55"/>
      <c r="C563" s="55"/>
      <c r="F563" s="66"/>
      <c r="G563" s="236"/>
      <c r="I563" s="145"/>
      <c r="J563" s="148"/>
      <c r="K563" s="149"/>
    </row>
    <row r="564" spans="2:11" s="17" customFormat="1" x14ac:dyDescent="0.25">
      <c r="B564" s="55"/>
      <c r="C564" s="55"/>
      <c r="F564" s="66"/>
      <c r="G564" s="236"/>
      <c r="I564" s="145"/>
      <c r="J564" s="148"/>
      <c r="K564" s="149"/>
    </row>
    <row r="565" spans="2:11" s="17" customFormat="1" x14ac:dyDescent="0.25">
      <c r="B565" s="55"/>
      <c r="C565" s="55"/>
      <c r="F565" s="66"/>
      <c r="G565" s="236"/>
      <c r="I565" s="145"/>
      <c r="J565" s="148"/>
      <c r="K565" s="149"/>
    </row>
    <row r="566" spans="2:11" s="17" customFormat="1" x14ac:dyDescent="0.25">
      <c r="B566" s="55"/>
      <c r="C566" s="55"/>
      <c r="F566" s="66"/>
      <c r="G566" s="236"/>
      <c r="I566" s="145"/>
      <c r="J566" s="148"/>
      <c r="K566" s="149"/>
    </row>
    <row r="567" spans="2:11" s="17" customFormat="1" x14ac:dyDescent="0.25">
      <c r="B567" s="55"/>
      <c r="C567" s="55"/>
      <c r="F567" s="66"/>
      <c r="G567" s="236"/>
      <c r="I567" s="145"/>
      <c r="J567" s="148"/>
      <c r="K567" s="149"/>
    </row>
    <row r="568" spans="2:11" s="17" customFormat="1" x14ac:dyDescent="0.25">
      <c r="B568" s="55"/>
      <c r="C568" s="55"/>
      <c r="F568" s="66"/>
      <c r="G568" s="236"/>
      <c r="I568" s="145"/>
      <c r="J568" s="148"/>
      <c r="K568" s="149"/>
    </row>
    <row r="569" spans="2:11" s="17" customFormat="1" x14ac:dyDescent="0.25">
      <c r="B569" s="55"/>
      <c r="C569" s="55"/>
      <c r="F569" s="66"/>
      <c r="G569" s="236"/>
      <c r="I569" s="145"/>
      <c r="J569" s="148"/>
      <c r="K569" s="149"/>
    </row>
    <row r="570" spans="2:11" s="17" customFormat="1" x14ac:dyDescent="0.25">
      <c r="B570" s="55"/>
      <c r="C570" s="55"/>
      <c r="F570" s="66"/>
      <c r="G570" s="236"/>
      <c r="I570" s="145"/>
      <c r="J570" s="148"/>
      <c r="K570" s="149"/>
    </row>
    <row r="571" spans="2:11" s="17" customFormat="1" x14ac:dyDescent="0.25">
      <c r="B571" s="55"/>
      <c r="C571" s="55"/>
      <c r="F571" s="66"/>
      <c r="G571" s="236"/>
      <c r="I571" s="145"/>
      <c r="J571" s="148"/>
      <c r="K571" s="149"/>
    </row>
    <row r="572" spans="2:11" s="17" customFormat="1" x14ac:dyDescent="0.25">
      <c r="B572" s="55"/>
      <c r="C572" s="55"/>
      <c r="F572" s="66"/>
      <c r="G572" s="236"/>
      <c r="I572" s="145"/>
      <c r="J572" s="148"/>
      <c r="K572" s="149"/>
    </row>
    <row r="573" spans="2:11" s="17" customFormat="1" x14ac:dyDescent="0.25">
      <c r="B573" s="55"/>
      <c r="C573" s="55"/>
      <c r="F573" s="66"/>
      <c r="G573" s="236"/>
      <c r="I573" s="145"/>
      <c r="J573" s="148"/>
      <c r="K573" s="149"/>
    </row>
    <row r="574" spans="2:11" s="17" customFormat="1" x14ac:dyDescent="0.25">
      <c r="B574" s="55"/>
      <c r="C574" s="55"/>
      <c r="F574" s="66"/>
      <c r="G574" s="236"/>
      <c r="I574" s="145"/>
      <c r="J574" s="148"/>
      <c r="K574" s="149"/>
    </row>
    <row r="575" spans="2:11" s="17" customFormat="1" x14ac:dyDescent="0.25">
      <c r="B575" s="55"/>
      <c r="C575" s="55"/>
      <c r="F575" s="66"/>
      <c r="G575" s="236"/>
      <c r="I575" s="145"/>
      <c r="J575" s="148"/>
      <c r="K575" s="149"/>
    </row>
    <row r="576" spans="2:11" s="17" customFormat="1" x14ac:dyDescent="0.25">
      <c r="B576" s="55"/>
      <c r="C576" s="55"/>
      <c r="F576" s="66"/>
      <c r="G576" s="236"/>
      <c r="I576" s="145"/>
      <c r="J576" s="148"/>
      <c r="K576" s="149"/>
    </row>
    <row r="577" spans="2:11" s="17" customFormat="1" x14ac:dyDescent="0.25">
      <c r="B577" s="55"/>
      <c r="C577" s="55"/>
      <c r="F577" s="66"/>
      <c r="G577" s="236"/>
      <c r="I577" s="145"/>
      <c r="J577" s="148"/>
      <c r="K577" s="149"/>
    </row>
    <row r="578" spans="2:11" s="17" customFormat="1" x14ac:dyDescent="0.25">
      <c r="B578" s="55"/>
      <c r="C578" s="55"/>
      <c r="F578" s="66"/>
      <c r="G578" s="236"/>
      <c r="I578" s="145"/>
      <c r="J578" s="148"/>
      <c r="K578" s="149"/>
    </row>
    <row r="579" spans="2:11" s="17" customFormat="1" x14ac:dyDescent="0.25">
      <c r="B579" s="55"/>
      <c r="C579" s="55"/>
      <c r="F579" s="66"/>
      <c r="G579" s="236"/>
      <c r="I579" s="145"/>
      <c r="J579" s="148"/>
      <c r="K579" s="149"/>
    </row>
    <row r="580" spans="2:11" s="17" customFormat="1" x14ac:dyDescent="0.25">
      <c r="B580" s="55"/>
      <c r="C580" s="55"/>
      <c r="F580" s="66"/>
      <c r="G580" s="236"/>
      <c r="I580" s="145"/>
      <c r="J580" s="148"/>
      <c r="K580" s="149"/>
    </row>
    <row r="581" spans="2:11" s="17" customFormat="1" x14ac:dyDescent="0.25">
      <c r="B581" s="55"/>
      <c r="C581" s="55"/>
      <c r="F581" s="66"/>
      <c r="G581" s="236"/>
      <c r="I581" s="145"/>
      <c r="J581" s="148"/>
      <c r="K581" s="149"/>
    </row>
    <row r="582" spans="2:11" s="17" customFormat="1" x14ac:dyDescent="0.25">
      <c r="B582" s="55"/>
      <c r="C582" s="55"/>
      <c r="F582" s="66"/>
      <c r="G582" s="236"/>
      <c r="I582" s="145"/>
      <c r="J582" s="148"/>
      <c r="K582" s="149"/>
    </row>
    <row r="583" spans="2:11" s="17" customFormat="1" x14ac:dyDescent="0.25">
      <c r="B583" s="55"/>
      <c r="C583" s="55"/>
      <c r="F583" s="66"/>
      <c r="G583" s="236"/>
      <c r="I583" s="145"/>
      <c r="J583" s="148"/>
      <c r="K583" s="149"/>
    </row>
    <row r="584" spans="2:11" s="17" customFormat="1" x14ac:dyDescent="0.25">
      <c r="B584" s="55"/>
      <c r="C584" s="55"/>
      <c r="F584" s="66"/>
      <c r="G584" s="236"/>
      <c r="I584" s="145"/>
      <c r="J584" s="148"/>
      <c r="K584" s="149"/>
    </row>
    <row r="585" spans="2:11" s="17" customFormat="1" x14ac:dyDescent="0.25">
      <c r="B585" s="55"/>
      <c r="C585" s="55"/>
      <c r="F585" s="66"/>
      <c r="G585" s="236"/>
      <c r="I585" s="145"/>
      <c r="J585" s="148"/>
      <c r="K585" s="149"/>
    </row>
    <row r="586" spans="2:11" s="17" customFormat="1" x14ac:dyDescent="0.25">
      <c r="B586" s="55"/>
      <c r="C586" s="55"/>
      <c r="F586" s="66"/>
      <c r="G586" s="236"/>
      <c r="I586" s="145"/>
      <c r="J586" s="148"/>
      <c r="K586" s="149"/>
    </row>
    <row r="587" spans="2:11" s="17" customFormat="1" x14ac:dyDescent="0.25">
      <c r="B587" s="55"/>
      <c r="C587" s="55"/>
      <c r="F587" s="66"/>
      <c r="G587" s="236"/>
      <c r="I587" s="145"/>
      <c r="J587" s="148"/>
      <c r="K587" s="149"/>
    </row>
    <row r="588" spans="2:11" s="17" customFormat="1" x14ac:dyDescent="0.25">
      <c r="B588" s="55"/>
      <c r="C588" s="55"/>
      <c r="F588" s="66"/>
      <c r="G588" s="236"/>
      <c r="I588" s="145"/>
      <c r="J588" s="148"/>
      <c r="K588" s="149"/>
    </row>
    <row r="589" spans="2:11" s="17" customFormat="1" x14ac:dyDescent="0.25">
      <c r="B589" s="55"/>
      <c r="C589" s="55"/>
      <c r="F589" s="66"/>
      <c r="G589" s="236"/>
      <c r="I589" s="145"/>
      <c r="J589" s="148"/>
      <c r="K589" s="149"/>
    </row>
    <row r="590" spans="2:11" s="17" customFormat="1" x14ac:dyDescent="0.25">
      <c r="B590" s="55"/>
      <c r="C590" s="55"/>
      <c r="F590" s="66"/>
      <c r="G590" s="236"/>
      <c r="I590" s="145"/>
      <c r="J590" s="148"/>
      <c r="K590" s="149"/>
    </row>
    <row r="591" spans="2:11" s="17" customFormat="1" x14ac:dyDescent="0.25">
      <c r="B591" s="55"/>
      <c r="C591" s="55"/>
      <c r="F591" s="66"/>
      <c r="G591" s="236"/>
      <c r="I591" s="145"/>
      <c r="J591" s="148"/>
      <c r="K591" s="149"/>
    </row>
    <row r="592" spans="2:11" s="17" customFormat="1" x14ac:dyDescent="0.25">
      <c r="B592" s="55"/>
      <c r="C592" s="55"/>
      <c r="F592" s="66"/>
      <c r="G592" s="236"/>
      <c r="I592" s="145"/>
      <c r="J592" s="148"/>
      <c r="K592" s="149"/>
    </row>
    <row r="593" spans="2:11" s="17" customFormat="1" x14ac:dyDescent="0.25">
      <c r="B593" s="55"/>
      <c r="C593" s="55"/>
      <c r="F593" s="66"/>
      <c r="G593" s="236"/>
      <c r="I593" s="145"/>
      <c r="J593" s="148"/>
      <c r="K593" s="149"/>
    </row>
    <row r="594" spans="2:11" s="17" customFormat="1" x14ac:dyDescent="0.25">
      <c r="B594" s="55"/>
      <c r="C594" s="55"/>
      <c r="F594" s="66"/>
      <c r="G594" s="236"/>
      <c r="I594" s="145"/>
      <c r="J594" s="148"/>
      <c r="K594" s="149"/>
    </row>
    <row r="595" spans="2:11" s="17" customFormat="1" x14ac:dyDescent="0.25">
      <c r="B595" s="55"/>
      <c r="C595" s="55"/>
      <c r="F595" s="66"/>
      <c r="G595" s="236"/>
      <c r="I595" s="145"/>
      <c r="J595" s="148"/>
      <c r="K595" s="149"/>
    </row>
    <row r="596" spans="2:11" s="17" customFormat="1" x14ac:dyDescent="0.25">
      <c r="B596" s="55"/>
      <c r="C596" s="55"/>
      <c r="F596" s="66"/>
      <c r="G596" s="236"/>
      <c r="I596" s="145"/>
      <c r="J596" s="148"/>
      <c r="K596" s="149"/>
    </row>
    <row r="597" spans="2:11" s="17" customFormat="1" x14ac:dyDescent="0.25">
      <c r="B597" s="55"/>
      <c r="C597" s="55"/>
      <c r="F597" s="66"/>
      <c r="G597" s="236"/>
      <c r="I597" s="145"/>
      <c r="J597" s="148"/>
      <c r="K597" s="149"/>
    </row>
    <row r="598" spans="2:11" s="17" customFormat="1" x14ac:dyDescent="0.25">
      <c r="B598" s="55"/>
      <c r="C598" s="55"/>
      <c r="F598" s="66"/>
      <c r="G598" s="236"/>
      <c r="I598" s="145"/>
      <c r="J598" s="148"/>
      <c r="K598" s="149"/>
    </row>
    <row r="599" spans="2:11" s="17" customFormat="1" x14ac:dyDescent="0.25">
      <c r="B599" s="55"/>
      <c r="C599" s="55"/>
      <c r="F599" s="66"/>
      <c r="G599" s="236"/>
      <c r="I599" s="145"/>
      <c r="J599" s="148"/>
      <c r="K599" s="149"/>
    </row>
    <row r="600" spans="2:11" s="17" customFormat="1" x14ac:dyDescent="0.25">
      <c r="B600" s="55"/>
      <c r="C600" s="55"/>
      <c r="F600" s="66"/>
      <c r="G600" s="236"/>
      <c r="I600" s="145"/>
      <c r="J600" s="148"/>
      <c r="K600" s="149"/>
    </row>
    <row r="601" spans="2:11" s="17" customFormat="1" x14ac:dyDescent="0.25">
      <c r="B601" s="55"/>
      <c r="C601" s="55"/>
      <c r="F601" s="66"/>
      <c r="G601" s="236"/>
      <c r="I601" s="145"/>
      <c r="J601" s="148"/>
      <c r="K601" s="149"/>
    </row>
    <row r="602" spans="2:11" s="17" customFormat="1" x14ac:dyDescent="0.25">
      <c r="B602" s="55"/>
      <c r="C602" s="55"/>
      <c r="F602" s="66"/>
      <c r="G602" s="236"/>
      <c r="I602" s="145"/>
      <c r="J602" s="148"/>
      <c r="K602" s="149"/>
    </row>
    <row r="603" spans="2:11" s="17" customFormat="1" x14ac:dyDescent="0.25">
      <c r="B603" s="55"/>
      <c r="C603" s="55"/>
      <c r="F603" s="66"/>
      <c r="G603" s="236"/>
      <c r="I603" s="145"/>
      <c r="J603" s="148"/>
      <c r="K603" s="149"/>
    </row>
    <row r="604" spans="2:11" s="17" customFormat="1" x14ac:dyDescent="0.25">
      <c r="B604" s="55"/>
      <c r="C604" s="55"/>
      <c r="F604" s="66"/>
      <c r="G604" s="236"/>
      <c r="I604" s="145"/>
      <c r="J604" s="148"/>
      <c r="K604" s="149"/>
    </row>
    <row r="605" spans="2:11" s="17" customFormat="1" x14ac:dyDescent="0.25">
      <c r="B605" s="55"/>
      <c r="C605" s="55"/>
      <c r="F605" s="66"/>
      <c r="G605" s="236"/>
      <c r="I605" s="145"/>
      <c r="J605" s="148"/>
      <c r="K605" s="149"/>
    </row>
    <row r="606" spans="2:11" s="17" customFormat="1" x14ac:dyDescent="0.25">
      <c r="B606" s="55"/>
      <c r="C606" s="55"/>
      <c r="F606" s="66"/>
      <c r="G606" s="236"/>
      <c r="I606" s="145"/>
      <c r="J606" s="148"/>
      <c r="K606" s="149"/>
    </row>
    <row r="607" spans="2:11" s="17" customFormat="1" x14ac:dyDescent="0.25">
      <c r="B607" s="55"/>
      <c r="C607" s="55"/>
      <c r="F607" s="66"/>
      <c r="G607" s="236"/>
      <c r="I607" s="145"/>
      <c r="J607" s="148"/>
      <c r="K607" s="149"/>
    </row>
    <row r="608" spans="2:11" s="17" customFormat="1" x14ac:dyDescent="0.25">
      <c r="B608" s="55"/>
      <c r="C608" s="55"/>
      <c r="F608" s="66"/>
      <c r="G608" s="236"/>
      <c r="I608" s="145"/>
      <c r="J608" s="148"/>
      <c r="K608" s="149"/>
    </row>
    <row r="609" spans="2:11" s="17" customFormat="1" x14ac:dyDescent="0.25">
      <c r="B609" s="55"/>
      <c r="C609" s="55"/>
      <c r="F609" s="66"/>
      <c r="G609" s="236"/>
      <c r="I609" s="145"/>
      <c r="J609" s="148"/>
      <c r="K609" s="149"/>
    </row>
    <row r="610" spans="2:11" s="17" customFormat="1" x14ac:dyDescent="0.25">
      <c r="B610" s="55"/>
      <c r="C610" s="55"/>
      <c r="F610" s="66"/>
      <c r="G610" s="236"/>
      <c r="I610" s="145"/>
      <c r="J610" s="148"/>
      <c r="K610" s="149"/>
    </row>
    <row r="611" spans="2:11" s="17" customFormat="1" x14ac:dyDescent="0.25">
      <c r="B611" s="55"/>
      <c r="C611" s="55"/>
      <c r="F611" s="66"/>
      <c r="G611" s="236"/>
      <c r="I611" s="145"/>
      <c r="J611" s="148"/>
      <c r="K611" s="149"/>
    </row>
    <row r="612" spans="2:11" s="17" customFormat="1" x14ac:dyDescent="0.25">
      <c r="B612" s="55"/>
      <c r="C612" s="55"/>
      <c r="F612" s="66"/>
      <c r="G612" s="236"/>
      <c r="I612" s="145"/>
      <c r="J612" s="148"/>
      <c r="K612" s="149"/>
    </row>
    <row r="613" spans="2:11" s="17" customFormat="1" x14ac:dyDescent="0.25">
      <c r="B613" s="55"/>
      <c r="C613" s="55"/>
      <c r="F613" s="66"/>
      <c r="G613" s="236"/>
      <c r="I613" s="145"/>
      <c r="J613" s="148"/>
      <c r="K613" s="149"/>
    </row>
    <row r="614" spans="2:11" s="17" customFormat="1" x14ac:dyDescent="0.25">
      <c r="B614" s="55"/>
      <c r="C614" s="55"/>
      <c r="F614" s="66"/>
      <c r="G614" s="236"/>
      <c r="I614" s="145"/>
      <c r="J614" s="148"/>
      <c r="K614" s="149"/>
    </row>
    <row r="615" spans="2:11" s="17" customFormat="1" x14ac:dyDescent="0.25">
      <c r="B615" s="55"/>
      <c r="C615" s="55"/>
      <c r="F615" s="66"/>
      <c r="G615" s="236"/>
      <c r="I615" s="145"/>
      <c r="J615" s="148"/>
      <c r="K615" s="149"/>
    </row>
    <row r="616" spans="2:11" s="17" customFormat="1" x14ac:dyDescent="0.25">
      <c r="B616" s="55"/>
      <c r="C616" s="55"/>
      <c r="F616" s="66"/>
      <c r="G616" s="236"/>
      <c r="I616" s="145"/>
      <c r="J616" s="148"/>
      <c r="K616" s="149"/>
    </row>
    <row r="617" spans="2:11" s="17" customFormat="1" x14ac:dyDescent="0.25">
      <c r="B617" s="55"/>
      <c r="C617" s="55"/>
      <c r="F617" s="66"/>
      <c r="G617" s="236"/>
      <c r="I617" s="145"/>
      <c r="J617" s="148"/>
      <c r="K617" s="149"/>
    </row>
    <row r="618" spans="2:11" s="17" customFormat="1" x14ac:dyDescent="0.25">
      <c r="B618" s="55"/>
      <c r="C618" s="55"/>
      <c r="F618" s="66"/>
      <c r="G618" s="236"/>
      <c r="I618" s="145"/>
      <c r="J618" s="148"/>
      <c r="K618" s="149"/>
    </row>
    <row r="619" spans="2:11" s="17" customFormat="1" x14ac:dyDescent="0.25">
      <c r="B619" s="55"/>
      <c r="C619" s="55"/>
      <c r="F619" s="66"/>
      <c r="G619" s="236"/>
      <c r="I619" s="145"/>
      <c r="J619" s="148"/>
      <c r="K619" s="149"/>
    </row>
    <row r="620" spans="2:11" s="17" customFormat="1" x14ac:dyDescent="0.25">
      <c r="B620" s="55"/>
      <c r="C620" s="55"/>
      <c r="F620" s="66"/>
      <c r="G620" s="236"/>
      <c r="I620" s="145"/>
      <c r="J620" s="148"/>
      <c r="K620" s="149"/>
    </row>
    <row r="621" spans="2:11" s="17" customFormat="1" x14ac:dyDescent="0.25">
      <c r="B621" s="55"/>
      <c r="C621" s="55"/>
      <c r="F621" s="66"/>
      <c r="G621" s="236"/>
      <c r="I621" s="145"/>
      <c r="J621" s="148"/>
      <c r="K621" s="149"/>
    </row>
    <row r="622" spans="2:11" s="17" customFormat="1" x14ac:dyDescent="0.25">
      <c r="B622" s="55"/>
      <c r="C622" s="55"/>
      <c r="F622" s="66"/>
      <c r="G622" s="236"/>
      <c r="I622" s="145"/>
      <c r="J622" s="148"/>
      <c r="K622" s="149"/>
    </row>
    <row r="623" spans="2:11" s="17" customFormat="1" x14ac:dyDescent="0.25">
      <c r="B623" s="55"/>
      <c r="C623" s="55"/>
      <c r="F623" s="66"/>
      <c r="G623" s="236"/>
      <c r="I623" s="145"/>
      <c r="J623" s="148"/>
      <c r="K623" s="149"/>
    </row>
    <row r="624" spans="2:11" s="17" customFormat="1" x14ac:dyDescent="0.25">
      <c r="B624" s="55"/>
      <c r="C624" s="55"/>
      <c r="F624" s="66"/>
      <c r="G624" s="236"/>
      <c r="I624" s="145"/>
      <c r="J624" s="148"/>
      <c r="K624" s="149"/>
    </row>
    <row r="625" spans="2:11" s="17" customFormat="1" x14ac:dyDescent="0.25">
      <c r="B625" s="55"/>
      <c r="C625" s="55"/>
      <c r="F625" s="66"/>
      <c r="G625" s="236"/>
      <c r="I625" s="145"/>
      <c r="J625" s="148"/>
      <c r="K625" s="149"/>
    </row>
    <row r="626" spans="2:11" s="17" customFormat="1" x14ac:dyDescent="0.25">
      <c r="B626" s="55"/>
      <c r="C626" s="55"/>
      <c r="F626" s="66"/>
      <c r="G626" s="236"/>
      <c r="I626" s="145"/>
      <c r="J626" s="148"/>
      <c r="K626" s="149"/>
    </row>
    <row r="627" spans="2:11" s="17" customFormat="1" x14ac:dyDescent="0.25">
      <c r="B627" s="55"/>
      <c r="C627" s="55"/>
      <c r="F627" s="66"/>
      <c r="G627" s="236"/>
      <c r="I627" s="145"/>
      <c r="J627" s="148"/>
      <c r="K627" s="149"/>
    </row>
    <row r="628" spans="2:11" s="17" customFormat="1" x14ac:dyDescent="0.25">
      <c r="B628" s="55"/>
      <c r="C628" s="55"/>
      <c r="F628" s="66"/>
      <c r="G628" s="236"/>
      <c r="I628" s="145"/>
      <c r="J628" s="148"/>
      <c r="K628" s="149"/>
    </row>
    <row r="629" spans="2:11" s="17" customFormat="1" x14ac:dyDescent="0.25">
      <c r="B629" s="55"/>
      <c r="C629" s="55"/>
      <c r="F629" s="66"/>
      <c r="G629" s="236"/>
      <c r="I629" s="145"/>
      <c r="J629" s="148"/>
      <c r="K629" s="149"/>
    </row>
    <row r="630" spans="2:11" s="17" customFormat="1" x14ac:dyDescent="0.25">
      <c r="B630" s="55"/>
      <c r="C630" s="55"/>
      <c r="F630" s="66"/>
      <c r="G630" s="236"/>
      <c r="I630" s="145"/>
      <c r="J630" s="148"/>
      <c r="K630" s="149"/>
    </row>
    <row r="631" spans="2:11" s="17" customFormat="1" x14ac:dyDescent="0.25">
      <c r="B631" s="55"/>
      <c r="C631" s="55"/>
      <c r="F631" s="66"/>
      <c r="G631" s="236"/>
      <c r="I631" s="145"/>
      <c r="J631" s="148"/>
      <c r="K631" s="149"/>
    </row>
    <row r="632" spans="2:11" s="17" customFormat="1" x14ac:dyDescent="0.25">
      <c r="B632" s="55"/>
      <c r="C632" s="55"/>
      <c r="F632" s="66"/>
      <c r="G632" s="236"/>
      <c r="I632" s="145"/>
      <c r="J632" s="148"/>
      <c r="K632" s="149"/>
    </row>
    <row r="633" spans="2:11" s="17" customFormat="1" x14ac:dyDescent="0.25">
      <c r="B633" s="55"/>
      <c r="C633" s="55"/>
      <c r="F633" s="66"/>
      <c r="G633" s="236"/>
      <c r="I633" s="145"/>
      <c r="J633" s="148"/>
      <c r="K633" s="149"/>
    </row>
    <row r="634" spans="2:11" s="17" customFormat="1" x14ac:dyDescent="0.25">
      <c r="B634" s="55"/>
      <c r="C634" s="55"/>
      <c r="F634" s="66"/>
      <c r="G634" s="236"/>
      <c r="I634" s="145"/>
      <c r="J634" s="148"/>
      <c r="K634" s="149"/>
    </row>
    <row r="635" spans="2:11" s="17" customFormat="1" x14ac:dyDescent="0.25">
      <c r="B635" s="55"/>
      <c r="C635" s="55"/>
      <c r="F635" s="66"/>
      <c r="G635" s="236"/>
      <c r="I635" s="145"/>
      <c r="J635" s="148"/>
      <c r="K635" s="149"/>
    </row>
    <row r="636" spans="2:11" s="17" customFormat="1" x14ac:dyDescent="0.25">
      <c r="B636" s="55"/>
      <c r="C636" s="55"/>
      <c r="F636" s="66"/>
      <c r="G636" s="236"/>
      <c r="I636" s="145"/>
      <c r="J636" s="148"/>
      <c r="K636" s="149"/>
    </row>
    <row r="637" spans="2:11" s="17" customFormat="1" x14ac:dyDescent="0.25">
      <c r="B637" s="55"/>
      <c r="C637" s="55"/>
      <c r="F637" s="66"/>
      <c r="G637" s="236"/>
      <c r="I637" s="145"/>
      <c r="J637" s="148"/>
      <c r="K637" s="149"/>
    </row>
    <row r="638" spans="2:11" s="17" customFormat="1" x14ac:dyDescent="0.25">
      <c r="B638" s="55"/>
      <c r="C638" s="55"/>
      <c r="F638" s="66"/>
      <c r="G638" s="236"/>
      <c r="I638" s="145"/>
      <c r="J638" s="148"/>
      <c r="K638" s="149"/>
    </row>
    <row r="639" spans="2:11" s="17" customFormat="1" x14ac:dyDescent="0.25">
      <c r="B639" s="55"/>
      <c r="C639" s="55"/>
      <c r="F639" s="66"/>
      <c r="G639" s="236"/>
      <c r="I639" s="145"/>
      <c r="J639" s="148"/>
      <c r="K639" s="149"/>
    </row>
    <row r="640" spans="2:11" s="17" customFormat="1" x14ac:dyDescent="0.25">
      <c r="B640" s="55"/>
      <c r="C640" s="55"/>
      <c r="F640" s="66"/>
      <c r="G640" s="236"/>
      <c r="I640" s="145"/>
      <c r="J640" s="148"/>
      <c r="K640" s="149"/>
    </row>
    <row r="641" spans="2:11" s="17" customFormat="1" x14ac:dyDescent="0.25">
      <c r="B641" s="55"/>
      <c r="C641" s="55"/>
      <c r="F641" s="66"/>
      <c r="G641" s="236"/>
      <c r="I641" s="145"/>
      <c r="J641" s="148"/>
      <c r="K641" s="149"/>
    </row>
    <row r="642" spans="2:11" s="17" customFormat="1" x14ac:dyDescent="0.25">
      <c r="B642" s="55"/>
      <c r="C642" s="55"/>
      <c r="F642" s="66"/>
      <c r="G642" s="236"/>
      <c r="I642" s="145"/>
      <c r="J642" s="148"/>
      <c r="K642" s="149"/>
    </row>
    <row r="643" spans="2:11" s="17" customFormat="1" x14ac:dyDescent="0.25">
      <c r="B643" s="55"/>
      <c r="C643" s="55"/>
      <c r="F643" s="66"/>
      <c r="G643" s="236"/>
      <c r="I643" s="145"/>
      <c r="J643" s="148"/>
      <c r="K643" s="149"/>
    </row>
    <row r="644" spans="2:11" s="17" customFormat="1" x14ac:dyDescent="0.25">
      <c r="B644" s="55"/>
      <c r="C644" s="55"/>
      <c r="F644" s="66"/>
      <c r="G644" s="236"/>
      <c r="I644" s="145"/>
      <c r="J644" s="148"/>
      <c r="K644" s="149"/>
    </row>
    <row r="645" spans="2:11" s="17" customFormat="1" x14ac:dyDescent="0.25">
      <c r="B645" s="55"/>
      <c r="C645" s="55"/>
      <c r="F645" s="66"/>
      <c r="G645" s="236"/>
      <c r="I645" s="145"/>
      <c r="J645" s="148"/>
      <c r="K645" s="149"/>
    </row>
    <row r="646" spans="2:11" s="17" customFormat="1" x14ac:dyDescent="0.25">
      <c r="B646" s="55"/>
      <c r="C646" s="55"/>
      <c r="F646" s="66"/>
      <c r="G646" s="236"/>
      <c r="I646" s="145"/>
      <c r="J646" s="148"/>
      <c r="K646" s="149"/>
    </row>
    <row r="647" spans="2:11" s="17" customFormat="1" x14ac:dyDescent="0.25">
      <c r="B647" s="55"/>
      <c r="C647" s="55"/>
      <c r="F647" s="66"/>
      <c r="G647" s="236"/>
      <c r="I647" s="145"/>
      <c r="J647" s="148"/>
      <c r="K647" s="149"/>
    </row>
    <row r="648" spans="2:11" s="17" customFormat="1" x14ac:dyDescent="0.25">
      <c r="B648" s="55"/>
      <c r="C648" s="55"/>
      <c r="F648" s="66"/>
      <c r="G648" s="236"/>
      <c r="I648" s="145"/>
      <c r="J648" s="148"/>
      <c r="K648" s="149"/>
    </row>
    <row r="649" spans="2:11" s="17" customFormat="1" x14ac:dyDescent="0.25">
      <c r="B649" s="55"/>
      <c r="C649" s="55"/>
      <c r="F649" s="66"/>
      <c r="G649" s="236"/>
      <c r="I649" s="145"/>
      <c r="J649" s="148"/>
      <c r="K649" s="149"/>
    </row>
    <row r="650" spans="2:11" s="17" customFormat="1" x14ac:dyDescent="0.25">
      <c r="B650" s="55"/>
      <c r="C650" s="55"/>
      <c r="F650" s="66"/>
      <c r="G650" s="236"/>
      <c r="I650" s="145"/>
      <c r="J650" s="148"/>
      <c r="K650" s="149"/>
    </row>
    <row r="651" spans="2:11" s="17" customFormat="1" x14ac:dyDescent="0.25">
      <c r="B651" s="55"/>
      <c r="C651" s="55"/>
      <c r="F651" s="66"/>
      <c r="G651" s="236"/>
      <c r="I651" s="145"/>
      <c r="J651" s="148"/>
      <c r="K651" s="149"/>
    </row>
    <row r="652" spans="2:11" s="17" customFormat="1" x14ac:dyDescent="0.25">
      <c r="B652" s="55"/>
      <c r="C652" s="55"/>
      <c r="F652" s="66"/>
      <c r="G652" s="236"/>
      <c r="I652" s="145"/>
      <c r="J652" s="148"/>
      <c r="K652" s="149"/>
    </row>
    <row r="653" spans="2:11" s="17" customFormat="1" x14ac:dyDescent="0.25">
      <c r="B653" s="55"/>
      <c r="C653" s="55"/>
      <c r="F653" s="66"/>
      <c r="G653" s="236"/>
      <c r="I653" s="145"/>
      <c r="J653" s="148"/>
      <c r="K653" s="149"/>
    </row>
    <row r="654" spans="2:11" s="17" customFormat="1" x14ac:dyDescent="0.25">
      <c r="B654" s="55"/>
      <c r="C654" s="55"/>
      <c r="F654" s="66"/>
      <c r="G654" s="236"/>
      <c r="I654" s="145"/>
      <c r="J654" s="148"/>
      <c r="K654" s="149"/>
    </row>
    <row r="655" spans="2:11" s="17" customFormat="1" x14ac:dyDescent="0.25">
      <c r="B655" s="55"/>
      <c r="C655" s="55"/>
      <c r="F655" s="66"/>
      <c r="G655" s="236"/>
      <c r="I655" s="145"/>
      <c r="J655" s="148"/>
      <c r="K655" s="149"/>
    </row>
    <row r="656" spans="2:11" s="17" customFormat="1" x14ac:dyDescent="0.25">
      <c r="B656" s="55"/>
      <c r="C656" s="55"/>
      <c r="F656" s="66"/>
      <c r="G656" s="236"/>
      <c r="I656" s="145"/>
      <c r="J656" s="148"/>
      <c r="K656" s="149"/>
    </row>
    <row r="657" spans="2:11" s="17" customFormat="1" x14ac:dyDescent="0.25">
      <c r="B657" s="55"/>
      <c r="C657" s="55"/>
      <c r="F657" s="66"/>
      <c r="G657" s="236"/>
      <c r="I657" s="145"/>
      <c r="J657" s="148"/>
      <c r="K657" s="149"/>
    </row>
    <row r="658" spans="2:11" s="17" customFormat="1" x14ac:dyDescent="0.25">
      <c r="B658" s="55"/>
      <c r="C658" s="55"/>
      <c r="F658" s="66"/>
      <c r="G658" s="236"/>
      <c r="I658" s="145"/>
      <c r="J658" s="148"/>
      <c r="K658" s="149"/>
    </row>
    <row r="659" spans="2:11" s="17" customFormat="1" x14ac:dyDescent="0.25">
      <c r="B659" s="55"/>
      <c r="C659" s="55"/>
      <c r="F659" s="66"/>
      <c r="G659" s="236"/>
      <c r="I659" s="145"/>
      <c r="J659" s="148"/>
      <c r="K659" s="149"/>
    </row>
    <row r="660" spans="2:11" s="17" customFormat="1" x14ac:dyDescent="0.25">
      <c r="B660" s="55"/>
      <c r="C660" s="55"/>
      <c r="F660" s="66"/>
      <c r="G660" s="236"/>
      <c r="I660" s="145"/>
      <c r="J660" s="148"/>
      <c r="K660" s="149"/>
    </row>
    <row r="661" spans="2:11" s="17" customFormat="1" x14ac:dyDescent="0.25">
      <c r="B661" s="55"/>
      <c r="C661" s="55"/>
      <c r="F661" s="66"/>
      <c r="G661" s="236"/>
      <c r="I661" s="145"/>
      <c r="J661" s="148"/>
      <c r="K661" s="149"/>
    </row>
    <row r="662" spans="2:11" s="17" customFormat="1" x14ac:dyDescent="0.25">
      <c r="B662" s="55"/>
      <c r="C662" s="55"/>
      <c r="F662" s="66"/>
      <c r="G662" s="236"/>
      <c r="I662" s="145"/>
      <c r="J662" s="148"/>
      <c r="K662" s="149"/>
    </row>
    <row r="663" spans="2:11" s="17" customFormat="1" x14ac:dyDescent="0.25">
      <c r="B663" s="55"/>
      <c r="C663" s="55"/>
      <c r="F663" s="66"/>
      <c r="G663" s="236"/>
      <c r="I663" s="145"/>
      <c r="J663" s="148"/>
      <c r="K663" s="149"/>
    </row>
    <row r="664" spans="2:11" s="17" customFormat="1" x14ac:dyDescent="0.25">
      <c r="B664" s="55"/>
      <c r="C664" s="55"/>
      <c r="F664" s="66"/>
      <c r="G664" s="236"/>
      <c r="I664" s="145"/>
      <c r="J664" s="148"/>
      <c r="K664" s="149"/>
    </row>
    <row r="665" spans="2:11" s="17" customFormat="1" x14ac:dyDescent="0.25">
      <c r="B665" s="55"/>
      <c r="C665" s="55"/>
      <c r="F665" s="66"/>
      <c r="G665" s="236"/>
      <c r="I665" s="145"/>
      <c r="J665" s="148"/>
      <c r="K665" s="149"/>
    </row>
    <row r="666" spans="2:11" s="17" customFormat="1" x14ac:dyDescent="0.25">
      <c r="B666" s="55"/>
      <c r="C666" s="55"/>
      <c r="F666" s="66"/>
      <c r="G666" s="236"/>
      <c r="I666" s="145"/>
      <c r="J666" s="148"/>
      <c r="K666" s="149"/>
    </row>
    <row r="667" spans="2:11" s="17" customFormat="1" x14ac:dyDescent="0.25">
      <c r="B667" s="55"/>
      <c r="C667" s="55"/>
      <c r="F667" s="66"/>
      <c r="G667" s="236"/>
      <c r="I667" s="145"/>
      <c r="J667" s="148"/>
      <c r="K667" s="149"/>
    </row>
    <row r="668" spans="2:11" s="17" customFormat="1" x14ac:dyDescent="0.25">
      <c r="B668" s="55"/>
      <c r="C668" s="55"/>
      <c r="F668" s="66"/>
      <c r="G668" s="236"/>
      <c r="I668" s="145"/>
      <c r="J668" s="148"/>
      <c r="K668" s="149"/>
    </row>
    <row r="669" spans="2:11" s="17" customFormat="1" x14ac:dyDescent="0.25">
      <c r="B669" s="55"/>
      <c r="C669" s="55"/>
      <c r="F669" s="66"/>
      <c r="G669" s="236"/>
      <c r="I669" s="145"/>
      <c r="J669" s="148"/>
      <c r="K669" s="149"/>
    </row>
    <row r="670" spans="2:11" s="17" customFormat="1" x14ac:dyDescent="0.25">
      <c r="B670" s="55"/>
      <c r="C670" s="55"/>
      <c r="F670" s="66"/>
      <c r="G670" s="236"/>
      <c r="I670" s="145"/>
      <c r="J670" s="148"/>
      <c r="K670" s="149"/>
    </row>
    <row r="671" spans="2:11" s="17" customFormat="1" x14ac:dyDescent="0.25">
      <c r="B671" s="55"/>
      <c r="C671" s="55"/>
      <c r="F671" s="66"/>
      <c r="G671" s="236"/>
      <c r="I671" s="145"/>
      <c r="J671" s="148"/>
      <c r="K671" s="149"/>
    </row>
    <row r="672" spans="2:11" s="17" customFormat="1" x14ac:dyDescent="0.25">
      <c r="B672" s="55"/>
      <c r="C672" s="55"/>
      <c r="F672" s="66"/>
      <c r="G672" s="236"/>
      <c r="I672" s="145"/>
      <c r="J672" s="148"/>
      <c r="K672" s="149"/>
    </row>
    <row r="673" spans="2:11" s="17" customFormat="1" x14ac:dyDescent="0.25">
      <c r="B673" s="55"/>
      <c r="C673" s="55"/>
      <c r="F673" s="66"/>
      <c r="G673" s="236"/>
      <c r="I673" s="145"/>
      <c r="J673" s="148"/>
      <c r="K673" s="149"/>
    </row>
    <row r="674" spans="2:11" s="17" customFormat="1" x14ac:dyDescent="0.25">
      <c r="B674" s="55"/>
      <c r="C674" s="55"/>
      <c r="F674" s="66"/>
      <c r="G674" s="236"/>
      <c r="I674" s="145"/>
      <c r="J674" s="148"/>
      <c r="K674" s="149"/>
    </row>
    <row r="675" spans="2:11" s="17" customFormat="1" x14ac:dyDescent="0.25">
      <c r="B675" s="55"/>
      <c r="C675" s="55"/>
      <c r="F675" s="66"/>
      <c r="G675" s="236"/>
      <c r="I675" s="145"/>
      <c r="J675" s="148"/>
      <c r="K675" s="149"/>
    </row>
    <row r="676" spans="2:11" s="17" customFormat="1" x14ac:dyDescent="0.25">
      <c r="B676" s="55"/>
      <c r="C676" s="55"/>
      <c r="F676" s="66"/>
      <c r="G676" s="236"/>
      <c r="I676" s="145"/>
      <c r="J676" s="148"/>
      <c r="K676" s="149"/>
    </row>
    <row r="677" spans="2:11" s="17" customFormat="1" x14ac:dyDescent="0.25">
      <c r="B677" s="55"/>
      <c r="C677" s="55"/>
      <c r="F677" s="66"/>
      <c r="G677" s="236"/>
      <c r="I677" s="145"/>
      <c r="J677" s="148"/>
      <c r="K677" s="149"/>
    </row>
    <row r="678" spans="2:11" s="17" customFormat="1" x14ac:dyDescent="0.25">
      <c r="B678" s="55"/>
      <c r="C678" s="55"/>
      <c r="F678" s="66"/>
      <c r="G678" s="236"/>
      <c r="I678" s="145"/>
      <c r="J678" s="148"/>
      <c r="K678" s="149"/>
    </row>
    <row r="679" spans="2:11" s="17" customFormat="1" x14ac:dyDescent="0.25">
      <c r="B679" s="55"/>
      <c r="C679" s="55"/>
      <c r="F679" s="66"/>
      <c r="G679" s="236"/>
      <c r="I679" s="145"/>
      <c r="J679" s="148"/>
      <c r="K679" s="149"/>
    </row>
    <row r="680" spans="2:11" s="17" customFormat="1" x14ac:dyDescent="0.25">
      <c r="B680" s="55"/>
      <c r="C680" s="55"/>
      <c r="F680" s="66"/>
      <c r="G680" s="236"/>
      <c r="I680" s="145"/>
      <c r="J680" s="148"/>
      <c r="K680" s="149"/>
    </row>
    <row r="681" spans="2:11" s="17" customFormat="1" x14ac:dyDescent="0.25">
      <c r="B681" s="55"/>
      <c r="C681" s="55"/>
      <c r="F681" s="66"/>
      <c r="G681" s="236"/>
      <c r="I681" s="145"/>
      <c r="J681" s="148"/>
      <c r="K681" s="149"/>
    </row>
    <row r="682" spans="2:11" s="17" customFormat="1" x14ac:dyDescent="0.25">
      <c r="B682" s="55"/>
      <c r="C682" s="55"/>
      <c r="F682" s="66"/>
      <c r="G682" s="236"/>
      <c r="I682" s="145"/>
      <c r="J682" s="148"/>
      <c r="K682" s="149"/>
    </row>
    <row r="683" spans="2:11" s="17" customFormat="1" x14ac:dyDescent="0.25">
      <c r="B683" s="55"/>
      <c r="C683" s="55"/>
      <c r="F683" s="66"/>
      <c r="G683" s="236"/>
      <c r="I683" s="145"/>
      <c r="J683" s="148"/>
      <c r="K683" s="149"/>
    </row>
    <row r="684" spans="2:11" s="17" customFormat="1" x14ac:dyDescent="0.25">
      <c r="B684" s="55"/>
      <c r="C684" s="55"/>
      <c r="F684" s="66"/>
      <c r="G684" s="236"/>
      <c r="I684" s="145"/>
      <c r="J684" s="148"/>
      <c r="K684" s="149"/>
    </row>
    <row r="685" spans="2:11" s="17" customFormat="1" x14ac:dyDescent="0.25">
      <c r="B685" s="55"/>
      <c r="C685" s="55"/>
      <c r="F685" s="66"/>
      <c r="G685" s="236"/>
      <c r="I685" s="145"/>
      <c r="J685" s="148"/>
      <c r="K685" s="149"/>
    </row>
    <row r="686" spans="2:11" s="17" customFormat="1" x14ac:dyDescent="0.25">
      <c r="B686" s="55"/>
      <c r="C686" s="55"/>
      <c r="F686" s="66"/>
      <c r="G686" s="236"/>
      <c r="I686" s="145"/>
      <c r="J686" s="148"/>
      <c r="K686" s="149"/>
    </row>
    <row r="687" spans="2:11" s="17" customFormat="1" x14ac:dyDescent="0.25">
      <c r="B687" s="55"/>
      <c r="C687" s="55"/>
      <c r="F687" s="66"/>
      <c r="G687" s="236"/>
      <c r="I687" s="145"/>
      <c r="J687" s="148"/>
      <c r="K687" s="149"/>
    </row>
    <row r="688" spans="2:11" s="17" customFormat="1" x14ac:dyDescent="0.25">
      <c r="B688" s="55"/>
      <c r="C688" s="55"/>
      <c r="F688" s="66"/>
      <c r="G688" s="236"/>
      <c r="I688" s="145"/>
      <c r="J688" s="148"/>
      <c r="K688" s="149"/>
    </row>
    <row r="689" spans="2:11" s="17" customFormat="1" x14ac:dyDescent="0.25">
      <c r="B689" s="55"/>
      <c r="C689" s="55"/>
      <c r="F689" s="66"/>
      <c r="G689" s="236"/>
      <c r="I689" s="145"/>
      <c r="J689" s="148"/>
      <c r="K689" s="149"/>
    </row>
    <row r="690" spans="2:11" s="17" customFormat="1" x14ac:dyDescent="0.25">
      <c r="B690" s="55"/>
      <c r="C690" s="55"/>
      <c r="F690" s="66"/>
      <c r="G690" s="236"/>
      <c r="I690" s="145"/>
      <c r="J690" s="148"/>
      <c r="K690" s="149"/>
    </row>
    <row r="691" spans="2:11" s="17" customFormat="1" x14ac:dyDescent="0.25">
      <c r="B691" s="55"/>
      <c r="C691" s="55"/>
      <c r="F691" s="66"/>
      <c r="G691" s="236"/>
      <c r="I691" s="145"/>
      <c r="J691" s="148"/>
      <c r="K691" s="149"/>
    </row>
    <row r="692" spans="2:11" s="17" customFormat="1" x14ac:dyDescent="0.25">
      <c r="B692" s="55"/>
      <c r="C692" s="55"/>
      <c r="F692" s="66"/>
      <c r="G692" s="236"/>
      <c r="I692" s="145"/>
      <c r="J692" s="148"/>
      <c r="K692" s="149"/>
    </row>
    <row r="693" spans="2:11" s="17" customFormat="1" x14ac:dyDescent="0.25">
      <c r="B693" s="55"/>
      <c r="C693" s="55"/>
      <c r="F693" s="66"/>
      <c r="G693" s="236"/>
      <c r="I693" s="145"/>
      <c r="J693" s="148"/>
      <c r="K693" s="149"/>
    </row>
    <row r="694" spans="2:11" s="17" customFormat="1" x14ac:dyDescent="0.25">
      <c r="B694" s="55"/>
      <c r="C694" s="55"/>
      <c r="F694" s="66"/>
      <c r="G694" s="236"/>
      <c r="I694" s="145"/>
      <c r="J694" s="148"/>
      <c r="K694" s="149"/>
    </row>
    <row r="695" spans="2:11" s="17" customFormat="1" x14ac:dyDescent="0.25">
      <c r="B695" s="55"/>
      <c r="C695" s="55"/>
      <c r="F695" s="66"/>
      <c r="G695" s="236"/>
      <c r="I695" s="145"/>
      <c r="J695" s="148"/>
      <c r="K695" s="149"/>
    </row>
    <row r="696" spans="2:11" s="17" customFormat="1" x14ac:dyDescent="0.25">
      <c r="B696" s="55"/>
      <c r="C696" s="55"/>
      <c r="F696" s="66"/>
      <c r="G696" s="236"/>
      <c r="I696" s="145"/>
      <c r="J696" s="148"/>
      <c r="K696" s="149"/>
    </row>
    <row r="697" spans="2:11" s="17" customFormat="1" x14ac:dyDescent="0.25">
      <c r="B697" s="55"/>
      <c r="C697" s="55"/>
      <c r="F697" s="66"/>
      <c r="G697" s="236"/>
      <c r="I697" s="145"/>
      <c r="J697" s="148"/>
      <c r="K697" s="149"/>
    </row>
    <row r="698" spans="2:11" s="17" customFormat="1" x14ac:dyDescent="0.25">
      <c r="B698" s="55"/>
      <c r="C698" s="55"/>
      <c r="F698" s="66"/>
      <c r="G698" s="236"/>
      <c r="I698" s="145"/>
      <c r="J698" s="148"/>
      <c r="K698" s="149"/>
    </row>
    <row r="699" spans="2:11" s="17" customFormat="1" x14ac:dyDescent="0.25">
      <c r="B699" s="55"/>
      <c r="C699" s="55"/>
      <c r="F699" s="66"/>
      <c r="G699" s="236"/>
      <c r="I699" s="145"/>
      <c r="J699" s="148"/>
      <c r="K699" s="149"/>
    </row>
    <row r="700" spans="2:11" s="17" customFormat="1" x14ac:dyDescent="0.25">
      <c r="B700" s="55"/>
      <c r="C700" s="55"/>
      <c r="F700" s="66"/>
      <c r="G700" s="236"/>
      <c r="I700" s="145"/>
      <c r="J700" s="148"/>
      <c r="K700" s="149"/>
    </row>
    <row r="701" spans="2:11" s="17" customFormat="1" x14ac:dyDescent="0.25">
      <c r="B701" s="55"/>
      <c r="C701" s="55"/>
      <c r="F701" s="66"/>
      <c r="G701" s="236"/>
      <c r="I701" s="145"/>
      <c r="J701" s="148"/>
      <c r="K701" s="149"/>
    </row>
    <row r="702" spans="2:11" s="17" customFormat="1" x14ac:dyDescent="0.25">
      <c r="B702" s="55"/>
      <c r="C702" s="55"/>
      <c r="F702" s="66"/>
      <c r="G702" s="236"/>
      <c r="I702" s="145"/>
      <c r="J702" s="148"/>
      <c r="K702" s="149"/>
    </row>
    <row r="703" spans="2:11" s="17" customFormat="1" x14ac:dyDescent="0.25">
      <c r="B703" s="55"/>
      <c r="C703" s="55"/>
      <c r="F703" s="66"/>
      <c r="G703" s="236"/>
      <c r="I703" s="145"/>
      <c r="J703" s="148"/>
      <c r="K703" s="149"/>
    </row>
    <row r="704" spans="2:11" s="17" customFormat="1" x14ac:dyDescent="0.25">
      <c r="B704" s="55"/>
      <c r="C704" s="55"/>
      <c r="F704" s="66"/>
      <c r="G704" s="236"/>
      <c r="I704" s="145"/>
      <c r="J704" s="148"/>
      <c r="K704" s="149"/>
    </row>
    <row r="705" spans="2:11" s="17" customFormat="1" x14ac:dyDescent="0.25">
      <c r="B705" s="55"/>
      <c r="C705" s="55"/>
      <c r="F705" s="66"/>
      <c r="G705" s="236"/>
      <c r="I705" s="145"/>
      <c r="J705" s="148"/>
      <c r="K705" s="149"/>
    </row>
    <row r="706" spans="2:11" s="17" customFormat="1" x14ac:dyDescent="0.25">
      <c r="B706" s="55"/>
      <c r="C706" s="55"/>
      <c r="F706" s="66"/>
      <c r="G706" s="236"/>
      <c r="I706" s="145"/>
      <c r="J706" s="148"/>
      <c r="K706" s="149"/>
    </row>
    <row r="707" spans="2:11" s="17" customFormat="1" x14ac:dyDescent="0.25">
      <c r="B707" s="55"/>
      <c r="C707" s="55"/>
      <c r="F707" s="66"/>
      <c r="G707" s="236"/>
      <c r="I707" s="145"/>
      <c r="J707" s="148"/>
      <c r="K707" s="149"/>
    </row>
    <row r="708" spans="2:11" s="17" customFormat="1" x14ac:dyDescent="0.25">
      <c r="B708" s="55"/>
      <c r="C708" s="55"/>
      <c r="F708" s="66"/>
      <c r="G708" s="236"/>
      <c r="I708" s="145"/>
      <c r="J708" s="148"/>
      <c r="K708" s="149"/>
    </row>
    <row r="709" spans="2:11" s="17" customFormat="1" x14ac:dyDescent="0.25">
      <c r="B709" s="55"/>
      <c r="C709" s="55"/>
      <c r="F709" s="66"/>
      <c r="G709" s="236"/>
      <c r="I709" s="145"/>
      <c r="J709" s="148"/>
      <c r="K709" s="149"/>
    </row>
    <row r="710" spans="2:11" s="17" customFormat="1" x14ac:dyDescent="0.25">
      <c r="B710" s="55"/>
      <c r="C710" s="55"/>
      <c r="F710" s="66"/>
      <c r="G710" s="236"/>
      <c r="I710" s="145"/>
      <c r="J710" s="148"/>
      <c r="K710" s="149"/>
    </row>
    <row r="711" spans="2:11" s="17" customFormat="1" x14ac:dyDescent="0.25">
      <c r="B711" s="55"/>
      <c r="C711" s="55"/>
      <c r="F711" s="66"/>
      <c r="G711" s="236"/>
      <c r="I711" s="145"/>
      <c r="J711" s="148"/>
      <c r="K711" s="149"/>
    </row>
    <row r="712" spans="2:11" s="17" customFormat="1" x14ac:dyDescent="0.25">
      <c r="B712" s="55"/>
      <c r="C712" s="55"/>
      <c r="F712" s="66"/>
      <c r="G712" s="236"/>
      <c r="I712" s="145"/>
      <c r="J712" s="148"/>
      <c r="K712" s="149"/>
    </row>
    <row r="713" spans="2:11" s="17" customFormat="1" x14ac:dyDescent="0.25">
      <c r="B713" s="55"/>
      <c r="C713" s="55"/>
      <c r="F713" s="66"/>
      <c r="G713" s="236"/>
      <c r="I713" s="145"/>
      <c r="J713" s="148"/>
      <c r="K713" s="149"/>
    </row>
    <row r="714" spans="2:11" s="17" customFormat="1" x14ac:dyDescent="0.25">
      <c r="B714" s="55"/>
      <c r="C714" s="55"/>
      <c r="F714" s="66"/>
      <c r="G714" s="236"/>
      <c r="I714" s="145"/>
      <c r="J714" s="148"/>
      <c r="K714" s="149"/>
    </row>
    <row r="715" spans="2:11" s="17" customFormat="1" x14ac:dyDescent="0.25">
      <c r="B715" s="55"/>
      <c r="C715" s="55"/>
      <c r="F715" s="66"/>
      <c r="G715" s="236"/>
      <c r="I715" s="145"/>
      <c r="J715" s="148"/>
      <c r="K715" s="149"/>
    </row>
    <row r="716" spans="2:11" s="17" customFormat="1" x14ac:dyDescent="0.25">
      <c r="B716" s="55"/>
      <c r="C716" s="55"/>
      <c r="F716" s="66"/>
      <c r="G716" s="236"/>
      <c r="I716" s="145"/>
      <c r="J716" s="148"/>
      <c r="K716" s="149"/>
    </row>
    <row r="717" spans="2:11" s="17" customFormat="1" x14ac:dyDescent="0.25">
      <c r="B717" s="55"/>
      <c r="C717" s="55"/>
      <c r="F717" s="66"/>
      <c r="G717" s="236"/>
      <c r="I717" s="145"/>
      <c r="J717" s="148"/>
      <c r="K717" s="149"/>
    </row>
    <row r="718" spans="2:11" s="17" customFormat="1" x14ac:dyDescent="0.25">
      <c r="B718" s="55"/>
      <c r="C718" s="55"/>
      <c r="F718" s="66"/>
      <c r="G718" s="236"/>
      <c r="I718" s="145"/>
      <c r="J718" s="148"/>
      <c r="K718" s="149"/>
    </row>
    <row r="719" spans="2:11" s="17" customFormat="1" x14ac:dyDescent="0.25">
      <c r="B719" s="55"/>
      <c r="C719" s="55"/>
      <c r="F719" s="66"/>
      <c r="G719" s="236"/>
      <c r="I719" s="145"/>
      <c r="J719" s="148"/>
      <c r="K719" s="149"/>
    </row>
    <row r="720" spans="2:11" s="17" customFormat="1" x14ac:dyDescent="0.25">
      <c r="B720" s="55"/>
      <c r="C720" s="55"/>
      <c r="F720" s="66"/>
      <c r="G720" s="236"/>
      <c r="I720" s="145"/>
      <c r="J720" s="148"/>
      <c r="K720" s="149"/>
    </row>
    <row r="721" spans="2:11" s="17" customFormat="1" x14ac:dyDescent="0.25">
      <c r="B721" s="55"/>
      <c r="C721" s="55"/>
      <c r="F721" s="66"/>
      <c r="G721" s="236"/>
      <c r="I721" s="145"/>
      <c r="J721" s="148"/>
      <c r="K721" s="149"/>
    </row>
    <row r="722" spans="2:11" s="17" customFormat="1" x14ac:dyDescent="0.25">
      <c r="B722" s="55"/>
      <c r="C722" s="55"/>
      <c r="F722" s="66"/>
      <c r="G722" s="236"/>
      <c r="I722" s="145"/>
      <c r="J722" s="148"/>
      <c r="K722" s="149"/>
    </row>
    <row r="723" spans="2:11" s="17" customFormat="1" x14ac:dyDescent="0.25">
      <c r="B723" s="55"/>
      <c r="C723" s="55"/>
      <c r="F723" s="66"/>
      <c r="G723" s="236"/>
      <c r="I723" s="145"/>
      <c r="J723" s="148"/>
      <c r="K723" s="149"/>
    </row>
    <row r="724" spans="2:11" s="17" customFormat="1" x14ac:dyDescent="0.25">
      <c r="B724" s="55"/>
      <c r="C724" s="55"/>
      <c r="F724" s="66"/>
      <c r="G724" s="236"/>
      <c r="I724" s="145"/>
      <c r="J724" s="148"/>
      <c r="K724" s="149"/>
    </row>
    <row r="725" spans="2:11" s="17" customFormat="1" x14ac:dyDescent="0.25">
      <c r="B725" s="55"/>
      <c r="C725" s="55"/>
      <c r="F725" s="66"/>
      <c r="G725" s="236"/>
      <c r="I725" s="145"/>
      <c r="J725" s="148"/>
      <c r="K725" s="149"/>
    </row>
    <row r="726" spans="2:11" s="17" customFormat="1" x14ac:dyDescent="0.25">
      <c r="B726" s="55"/>
      <c r="C726" s="55"/>
      <c r="F726" s="66"/>
      <c r="G726" s="236"/>
      <c r="I726" s="145"/>
      <c r="J726" s="148"/>
      <c r="K726" s="149"/>
    </row>
    <row r="727" spans="2:11" s="17" customFormat="1" x14ac:dyDescent="0.25">
      <c r="B727" s="55"/>
      <c r="C727" s="55"/>
      <c r="F727" s="66"/>
      <c r="G727" s="236"/>
      <c r="I727" s="145"/>
      <c r="J727" s="148"/>
      <c r="K727" s="149"/>
    </row>
    <row r="728" spans="2:11" s="17" customFormat="1" x14ac:dyDescent="0.25">
      <c r="B728" s="55"/>
      <c r="C728" s="55"/>
      <c r="F728" s="66"/>
      <c r="G728" s="236"/>
      <c r="I728" s="145"/>
      <c r="J728" s="148"/>
      <c r="K728" s="149"/>
    </row>
    <row r="729" spans="2:11" s="17" customFormat="1" x14ac:dyDescent="0.25">
      <c r="B729" s="55"/>
      <c r="C729" s="55"/>
      <c r="F729" s="66"/>
      <c r="G729" s="236"/>
      <c r="I729" s="145"/>
      <c r="J729" s="148"/>
      <c r="K729" s="149"/>
    </row>
    <row r="730" spans="2:11" s="17" customFormat="1" x14ac:dyDescent="0.25">
      <c r="B730" s="55"/>
      <c r="C730" s="55"/>
      <c r="F730" s="66"/>
      <c r="G730" s="236"/>
      <c r="I730" s="145"/>
      <c r="J730" s="148"/>
      <c r="K730" s="149"/>
    </row>
    <row r="731" spans="2:11" s="17" customFormat="1" x14ac:dyDescent="0.25">
      <c r="B731" s="55"/>
      <c r="C731" s="55"/>
      <c r="F731" s="66"/>
      <c r="G731" s="236"/>
      <c r="I731" s="145"/>
      <c r="J731" s="148"/>
      <c r="K731" s="149"/>
    </row>
    <row r="732" spans="2:11" s="17" customFormat="1" x14ac:dyDescent="0.25">
      <c r="B732" s="55"/>
      <c r="C732" s="55"/>
      <c r="F732" s="66"/>
      <c r="G732" s="236"/>
      <c r="I732" s="145"/>
      <c r="J732" s="148"/>
      <c r="K732" s="149"/>
    </row>
    <row r="733" spans="2:11" s="17" customFormat="1" x14ac:dyDescent="0.25">
      <c r="B733" s="55"/>
      <c r="C733" s="55"/>
      <c r="F733" s="66"/>
      <c r="G733" s="236"/>
      <c r="I733" s="145"/>
      <c r="J733" s="148"/>
      <c r="K733" s="149"/>
    </row>
    <row r="734" spans="2:11" s="17" customFormat="1" x14ac:dyDescent="0.25">
      <c r="B734" s="55"/>
      <c r="C734" s="55"/>
      <c r="F734" s="66"/>
      <c r="G734" s="236"/>
      <c r="I734" s="145"/>
      <c r="J734" s="148"/>
      <c r="K734" s="149"/>
    </row>
    <row r="735" spans="2:11" s="17" customFormat="1" x14ac:dyDescent="0.25">
      <c r="B735" s="55"/>
      <c r="C735" s="55"/>
      <c r="F735" s="66"/>
      <c r="G735" s="236"/>
      <c r="I735" s="145"/>
      <c r="J735" s="148"/>
      <c r="K735" s="149"/>
    </row>
    <row r="736" spans="2:11" s="17" customFormat="1" x14ac:dyDescent="0.25">
      <c r="B736" s="55"/>
      <c r="C736" s="55"/>
      <c r="F736" s="66"/>
      <c r="G736" s="236"/>
      <c r="I736" s="145"/>
      <c r="J736" s="148"/>
      <c r="K736" s="149"/>
    </row>
    <row r="737" spans="2:11" s="17" customFormat="1" x14ac:dyDescent="0.25">
      <c r="B737" s="55"/>
      <c r="C737" s="55"/>
      <c r="F737" s="66"/>
      <c r="G737" s="236"/>
      <c r="I737" s="145"/>
      <c r="J737" s="148"/>
      <c r="K737" s="149"/>
    </row>
    <row r="738" spans="2:11" s="17" customFormat="1" x14ac:dyDescent="0.25">
      <c r="B738" s="55"/>
      <c r="C738" s="55"/>
      <c r="F738" s="66"/>
      <c r="G738" s="236"/>
      <c r="I738" s="145"/>
      <c r="J738" s="148"/>
      <c r="K738" s="149"/>
    </row>
    <row r="739" spans="2:11" s="17" customFormat="1" x14ac:dyDescent="0.25">
      <c r="B739" s="55"/>
      <c r="C739" s="55"/>
      <c r="F739" s="66"/>
      <c r="G739" s="236"/>
      <c r="I739" s="145"/>
      <c r="J739" s="148"/>
      <c r="K739" s="149"/>
    </row>
    <row r="740" spans="2:11" s="17" customFormat="1" x14ac:dyDescent="0.25">
      <c r="B740" s="55"/>
      <c r="C740" s="55"/>
      <c r="F740" s="66"/>
      <c r="G740" s="236"/>
      <c r="I740" s="145"/>
      <c r="J740" s="148"/>
      <c r="K740" s="149"/>
    </row>
    <row r="741" spans="2:11" s="17" customFormat="1" x14ac:dyDescent="0.25">
      <c r="B741" s="55"/>
      <c r="C741" s="55"/>
      <c r="F741" s="66"/>
      <c r="G741" s="236"/>
      <c r="I741" s="145"/>
      <c r="J741" s="148"/>
      <c r="K741" s="149"/>
    </row>
    <row r="742" spans="2:11" s="17" customFormat="1" x14ac:dyDescent="0.25">
      <c r="B742" s="55"/>
      <c r="C742" s="55"/>
      <c r="F742" s="66"/>
      <c r="G742" s="236"/>
      <c r="I742" s="145"/>
      <c r="J742" s="148"/>
      <c r="K742" s="149"/>
    </row>
    <row r="743" spans="2:11" s="17" customFormat="1" x14ac:dyDescent="0.25">
      <c r="B743" s="55"/>
      <c r="C743" s="55"/>
      <c r="F743" s="66"/>
      <c r="G743" s="236"/>
      <c r="I743" s="145"/>
      <c r="J743" s="148"/>
      <c r="K743" s="149"/>
    </row>
    <row r="744" spans="2:11" s="17" customFormat="1" x14ac:dyDescent="0.25">
      <c r="B744" s="55"/>
      <c r="C744" s="55"/>
      <c r="F744" s="66"/>
      <c r="G744" s="236"/>
      <c r="I744" s="145"/>
      <c r="J744" s="148"/>
      <c r="K744" s="149"/>
    </row>
    <row r="745" spans="2:11" s="17" customFormat="1" x14ac:dyDescent="0.25">
      <c r="B745" s="55"/>
      <c r="C745" s="55"/>
      <c r="F745" s="66"/>
      <c r="G745" s="236"/>
      <c r="I745" s="145"/>
      <c r="J745" s="148"/>
      <c r="K745" s="149"/>
    </row>
    <row r="746" spans="2:11" s="17" customFormat="1" x14ac:dyDescent="0.25">
      <c r="B746" s="55"/>
      <c r="C746" s="55"/>
      <c r="F746" s="66"/>
      <c r="G746" s="236"/>
      <c r="I746" s="145"/>
      <c r="J746" s="148"/>
      <c r="K746" s="149"/>
    </row>
    <row r="747" spans="2:11" s="17" customFormat="1" x14ac:dyDescent="0.25">
      <c r="B747" s="55"/>
      <c r="C747" s="55"/>
      <c r="F747" s="66"/>
      <c r="G747" s="236"/>
      <c r="I747" s="145"/>
      <c r="J747" s="148"/>
      <c r="K747" s="149"/>
    </row>
    <row r="748" spans="2:11" s="17" customFormat="1" x14ac:dyDescent="0.25">
      <c r="B748" s="55"/>
      <c r="C748" s="55"/>
      <c r="F748" s="66"/>
      <c r="G748" s="236"/>
      <c r="I748" s="145"/>
      <c r="J748" s="148"/>
      <c r="K748" s="149"/>
    </row>
    <row r="749" spans="2:11" s="17" customFormat="1" x14ac:dyDescent="0.25">
      <c r="B749" s="55"/>
      <c r="C749" s="55"/>
      <c r="F749" s="66"/>
      <c r="G749" s="236"/>
      <c r="I749" s="145"/>
      <c r="J749" s="148"/>
      <c r="K749" s="149"/>
    </row>
    <row r="750" spans="2:11" s="17" customFormat="1" x14ac:dyDescent="0.25">
      <c r="B750" s="55"/>
      <c r="C750" s="55"/>
      <c r="F750" s="66"/>
      <c r="G750" s="236"/>
      <c r="I750" s="145"/>
      <c r="J750" s="148"/>
      <c r="K750" s="149"/>
    </row>
    <row r="751" spans="2:11" s="17" customFormat="1" x14ac:dyDescent="0.25">
      <c r="B751" s="55"/>
      <c r="C751" s="55"/>
      <c r="F751" s="66"/>
      <c r="G751" s="236"/>
      <c r="I751" s="145"/>
      <c r="J751" s="148"/>
      <c r="K751" s="149"/>
    </row>
    <row r="752" spans="2:11" s="17" customFormat="1" x14ac:dyDescent="0.25">
      <c r="B752" s="55"/>
      <c r="C752" s="55"/>
      <c r="F752" s="66"/>
      <c r="G752" s="236"/>
      <c r="I752" s="145"/>
      <c r="J752" s="148"/>
      <c r="K752" s="149"/>
    </row>
    <row r="753" spans="2:11" s="17" customFormat="1" x14ac:dyDescent="0.25">
      <c r="B753" s="55"/>
      <c r="C753" s="55"/>
      <c r="F753" s="66"/>
      <c r="G753" s="236"/>
      <c r="I753" s="145"/>
      <c r="J753" s="148"/>
      <c r="K753" s="149"/>
    </row>
    <row r="754" spans="2:11" s="17" customFormat="1" x14ac:dyDescent="0.25">
      <c r="B754" s="55"/>
      <c r="C754" s="55"/>
      <c r="F754" s="66"/>
      <c r="G754" s="236"/>
      <c r="I754" s="145"/>
      <c r="J754" s="148"/>
      <c r="K754" s="149"/>
    </row>
    <row r="755" spans="2:11" s="17" customFormat="1" x14ac:dyDescent="0.25">
      <c r="B755" s="55"/>
      <c r="C755" s="55"/>
      <c r="F755" s="66"/>
      <c r="G755" s="236"/>
      <c r="I755" s="145"/>
      <c r="J755" s="148"/>
      <c r="K755" s="149"/>
    </row>
    <row r="756" spans="2:11" s="17" customFormat="1" x14ac:dyDescent="0.25">
      <c r="B756" s="55"/>
      <c r="C756" s="55"/>
      <c r="F756" s="66"/>
      <c r="G756" s="236"/>
      <c r="I756" s="145"/>
      <c r="J756" s="148"/>
      <c r="K756" s="149"/>
    </row>
    <row r="757" spans="2:11" s="17" customFormat="1" x14ac:dyDescent="0.25">
      <c r="B757" s="55"/>
      <c r="C757" s="55"/>
      <c r="F757" s="66"/>
      <c r="G757" s="236"/>
      <c r="I757" s="145"/>
      <c r="J757" s="148"/>
      <c r="K757" s="149"/>
    </row>
    <row r="758" spans="2:11" s="17" customFormat="1" x14ac:dyDescent="0.25">
      <c r="B758" s="55"/>
      <c r="C758" s="55"/>
      <c r="F758" s="66"/>
      <c r="G758" s="236"/>
      <c r="I758" s="145"/>
      <c r="J758" s="148"/>
      <c r="K758" s="149"/>
    </row>
    <row r="759" spans="2:11" s="17" customFormat="1" x14ac:dyDescent="0.25">
      <c r="B759" s="55"/>
      <c r="C759" s="55"/>
      <c r="F759" s="66"/>
      <c r="G759" s="236"/>
      <c r="I759" s="145"/>
      <c r="J759" s="148"/>
      <c r="K759" s="149"/>
    </row>
    <row r="760" spans="2:11" s="17" customFormat="1" x14ac:dyDescent="0.25">
      <c r="B760" s="55"/>
      <c r="C760" s="55"/>
      <c r="F760" s="66"/>
      <c r="G760" s="236"/>
      <c r="I760" s="145"/>
      <c r="J760" s="148"/>
      <c r="K760" s="149"/>
    </row>
    <row r="761" spans="2:11" s="17" customFormat="1" x14ac:dyDescent="0.25">
      <c r="B761" s="55"/>
      <c r="C761" s="55"/>
      <c r="F761" s="66"/>
      <c r="G761" s="236"/>
      <c r="I761" s="145"/>
      <c r="J761" s="148"/>
      <c r="K761" s="149"/>
    </row>
    <row r="762" spans="2:11" s="17" customFormat="1" x14ac:dyDescent="0.25">
      <c r="B762" s="55"/>
      <c r="C762" s="55"/>
      <c r="F762" s="66"/>
      <c r="G762" s="236"/>
      <c r="I762" s="145"/>
      <c r="J762" s="148"/>
      <c r="K762" s="149"/>
    </row>
    <row r="763" spans="2:11" s="17" customFormat="1" x14ac:dyDescent="0.25">
      <c r="B763" s="55"/>
      <c r="C763" s="55"/>
      <c r="F763" s="66"/>
      <c r="G763" s="236"/>
      <c r="I763" s="145"/>
      <c r="J763" s="148"/>
      <c r="K763" s="149"/>
    </row>
    <row r="764" spans="2:11" s="17" customFormat="1" x14ac:dyDescent="0.25">
      <c r="B764" s="55"/>
      <c r="C764" s="55"/>
      <c r="F764" s="66"/>
      <c r="G764" s="236"/>
      <c r="I764" s="145"/>
      <c r="J764" s="148"/>
      <c r="K764" s="149"/>
    </row>
    <row r="765" spans="2:11" s="17" customFormat="1" x14ac:dyDescent="0.25">
      <c r="B765" s="55"/>
      <c r="C765" s="55"/>
      <c r="F765" s="66"/>
      <c r="G765" s="236"/>
      <c r="I765" s="145"/>
      <c r="J765" s="148"/>
      <c r="K765" s="149"/>
    </row>
    <row r="766" spans="2:11" s="17" customFormat="1" x14ac:dyDescent="0.25">
      <c r="B766" s="55"/>
      <c r="C766" s="55"/>
      <c r="F766" s="66"/>
      <c r="G766" s="236"/>
      <c r="I766" s="145"/>
      <c r="J766" s="148"/>
      <c r="K766" s="149"/>
    </row>
    <row r="767" spans="2:11" s="17" customFormat="1" x14ac:dyDescent="0.25">
      <c r="B767" s="55"/>
      <c r="C767" s="55"/>
      <c r="F767" s="66"/>
      <c r="G767" s="236"/>
      <c r="I767" s="145"/>
      <c r="J767" s="148"/>
      <c r="K767" s="149"/>
    </row>
    <row r="768" spans="2:11" s="17" customFormat="1" x14ac:dyDescent="0.25">
      <c r="B768" s="55"/>
      <c r="C768" s="55"/>
      <c r="F768" s="66"/>
      <c r="G768" s="236"/>
      <c r="I768" s="145"/>
      <c r="J768" s="148"/>
      <c r="K768" s="149"/>
    </row>
    <row r="769" spans="2:11" s="17" customFormat="1" x14ac:dyDescent="0.25">
      <c r="B769" s="55"/>
      <c r="C769" s="55"/>
      <c r="F769" s="66"/>
      <c r="G769" s="236"/>
      <c r="I769" s="145"/>
      <c r="J769" s="148"/>
      <c r="K769" s="149"/>
    </row>
    <row r="770" spans="2:11" s="17" customFormat="1" x14ac:dyDescent="0.25">
      <c r="B770" s="55"/>
      <c r="C770" s="55"/>
      <c r="F770" s="66"/>
      <c r="G770" s="236"/>
      <c r="I770" s="145"/>
      <c r="J770" s="148"/>
      <c r="K770" s="149"/>
    </row>
    <row r="771" spans="2:11" s="17" customFormat="1" x14ac:dyDescent="0.25">
      <c r="B771" s="55"/>
      <c r="C771" s="55"/>
      <c r="F771" s="66"/>
      <c r="G771" s="236"/>
      <c r="I771" s="145"/>
      <c r="J771" s="148"/>
      <c r="K771" s="149"/>
    </row>
    <row r="772" spans="2:11" s="17" customFormat="1" x14ac:dyDescent="0.25">
      <c r="B772" s="55"/>
      <c r="C772" s="55"/>
      <c r="F772" s="66"/>
      <c r="G772" s="236"/>
      <c r="I772" s="145"/>
      <c r="J772" s="148"/>
      <c r="K772" s="149"/>
    </row>
    <row r="773" spans="2:11" s="17" customFormat="1" x14ac:dyDescent="0.25">
      <c r="B773" s="55"/>
      <c r="C773" s="55"/>
      <c r="F773" s="66"/>
      <c r="G773" s="236"/>
      <c r="I773" s="145"/>
      <c r="J773" s="148"/>
      <c r="K773" s="149"/>
    </row>
    <row r="774" spans="2:11" s="17" customFormat="1" x14ac:dyDescent="0.25">
      <c r="B774" s="55"/>
      <c r="C774" s="55"/>
      <c r="F774" s="66"/>
      <c r="G774" s="236"/>
      <c r="I774" s="145"/>
      <c r="J774" s="148"/>
      <c r="K774" s="149"/>
    </row>
    <row r="775" spans="2:11" s="17" customFormat="1" x14ac:dyDescent="0.25">
      <c r="B775" s="55"/>
      <c r="C775" s="55"/>
      <c r="F775" s="66"/>
      <c r="G775" s="236"/>
      <c r="I775" s="145"/>
      <c r="J775" s="148"/>
      <c r="K775" s="149"/>
    </row>
    <row r="776" spans="2:11" s="17" customFormat="1" x14ac:dyDescent="0.25">
      <c r="B776" s="55"/>
      <c r="C776" s="55"/>
      <c r="F776" s="66"/>
      <c r="G776" s="236"/>
      <c r="I776" s="145"/>
      <c r="J776" s="148"/>
      <c r="K776" s="149"/>
    </row>
    <row r="777" spans="2:11" s="17" customFormat="1" x14ac:dyDescent="0.25">
      <c r="B777" s="55"/>
      <c r="C777" s="55"/>
      <c r="F777" s="66"/>
      <c r="G777" s="236"/>
      <c r="I777" s="145"/>
      <c r="J777" s="148"/>
      <c r="K777" s="149"/>
    </row>
    <row r="778" spans="2:11" s="17" customFormat="1" x14ac:dyDescent="0.25">
      <c r="B778" s="55"/>
      <c r="C778" s="55"/>
      <c r="F778" s="66"/>
      <c r="G778" s="236"/>
      <c r="I778" s="145"/>
      <c r="J778" s="148"/>
      <c r="K778" s="149"/>
    </row>
    <row r="779" spans="2:11" s="17" customFormat="1" x14ac:dyDescent="0.25">
      <c r="B779" s="55"/>
      <c r="C779" s="55"/>
      <c r="F779" s="66"/>
      <c r="G779" s="236"/>
      <c r="I779" s="145"/>
      <c r="J779" s="148"/>
      <c r="K779" s="149"/>
    </row>
    <row r="780" spans="2:11" s="17" customFormat="1" x14ac:dyDescent="0.25">
      <c r="B780" s="55"/>
      <c r="C780" s="55"/>
      <c r="F780" s="66"/>
      <c r="G780" s="236"/>
      <c r="I780" s="145"/>
      <c r="J780" s="148"/>
      <c r="K780" s="149"/>
    </row>
    <row r="781" spans="2:11" s="17" customFormat="1" x14ac:dyDescent="0.25">
      <c r="B781" s="55"/>
      <c r="C781" s="55"/>
      <c r="F781" s="66"/>
      <c r="G781" s="236"/>
      <c r="I781" s="145"/>
      <c r="J781" s="148"/>
      <c r="K781" s="149"/>
    </row>
    <row r="782" spans="2:11" s="17" customFormat="1" x14ac:dyDescent="0.25">
      <c r="B782" s="55"/>
      <c r="C782" s="55"/>
      <c r="F782" s="66"/>
      <c r="G782" s="236"/>
      <c r="I782" s="145"/>
      <c r="J782" s="148"/>
      <c r="K782" s="149"/>
    </row>
    <row r="783" spans="2:11" s="17" customFormat="1" x14ac:dyDescent="0.25">
      <c r="B783" s="55"/>
      <c r="C783" s="55"/>
      <c r="F783" s="66"/>
      <c r="G783" s="236"/>
      <c r="I783" s="145"/>
      <c r="J783" s="148"/>
      <c r="K783" s="149"/>
    </row>
    <row r="784" spans="2:11" s="17" customFormat="1" x14ac:dyDescent="0.25">
      <c r="B784" s="55"/>
      <c r="C784" s="55"/>
      <c r="F784" s="66"/>
      <c r="G784" s="236"/>
      <c r="I784" s="145"/>
      <c r="J784" s="148"/>
      <c r="K784" s="149"/>
    </row>
    <row r="785" spans="2:11" s="17" customFormat="1" x14ac:dyDescent="0.25">
      <c r="B785" s="55"/>
      <c r="C785" s="55"/>
      <c r="F785" s="66"/>
      <c r="G785" s="236"/>
      <c r="I785" s="145"/>
      <c r="J785" s="148"/>
      <c r="K785" s="149"/>
    </row>
    <row r="786" spans="2:11" s="17" customFormat="1" x14ac:dyDescent="0.25">
      <c r="B786" s="55"/>
      <c r="C786" s="55"/>
      <c r="F786" s="66"/>
      <c r="G786" s="236"/>
      <c r="I786" s="145"/>
      <c r="J786" s="148"/>
      <c r="K786" s="149"/>
    </row>
    <row r="787" spans="2:11" s="17" customFormat="1" x14ac:dyDescent="0.25">
      <c r="B787" s="55"/>
      <c r="C787" s="55"/>
      <c r="F787" s="66"/>
      <c r="G787" s="236"/>
      <c r="I787" s="145"/>
      <c r="J787" s="148"/>
      <c r="K787" s="149"/>
    </row>
    <row r="788" spans="2:11" s="17" customFormat="1" x14ac:dyDescent="0.25">
      <c r="B788" s="55"/>
      <c r="C788" s="55"/>
      <c r="F788" s="66"/>
      <c r="G788" s="236"/>
      <c r="I788" s="145"/>
      <c r="J788" s="148"/>
      <c r="K788" s="149"/>
    </row>
    <row r="789" spans="2:11" s="17" customFormat="1" x14ac:dyDescent="0.25">
      <c r="B789" s="55"/>
      <c r="C789" s="55"/>
      <c r="F789" s="66"/>
      <c r="G789" s="236"/>
      <c r="I789" s="145"/>
      <c r="J789" s="148"/>
      <c r="K789" s="149"/>
    </row>
    <row r="790" spans="2:11" s="17" customFormat="1" x14ac:dyDescent="0.25">
      <c r="B790" s="55"/>
      <c r="C790" s="55"/>
      <c r="F790" s="66"/>
      <c r="G790" s="236"/>
      <c r="I790" s="145"/>
      <c r="J790" s="148"/>
      <c r="K790" s="149"/>
    </row>
    <row r="791" spans="2:11" s="17" customFormat="1" x14ac:dyDescent="0.25">
      <c r="B791" s="55"/>
      <c r="C791" s="55"/>
      <c r="F791" s="66"/>
      <c r="G791" s="236"/>
      <c r="I791" s="145"/>
      <c r="J791" s="148"/>
      <c r="K791" s="149"/>
    </row>
    <row r="792" spans="2:11" s="17" customFormat="1" x14ac:dyDescent="0.25">
      <c r="B792" s="55"/>
      <c r="C792" s="55"/>
      <c r="F792" s="66"/>
      <c r="G792" s="236"/>
      <c r="I792" s="145"/>
      <c r="J792" s="148"/>
      <c r="K792" s="149"/>
    </row>
    <row r="793" spans="2:11" s="17" customFormat="1" x14ac:dyDescent="0.25">
      <c r="B793" s="55"/>
      <c r="C793" s="55"/>
      <c r="F793" s="66"/>
      <c r="G793" s="236"/>
      <c r="I793" s="145"/>
      <c r="J793" s="148"/>
      <c r="K793" s="149"/>
    </row>
    <row r="794" spans="2:11" s="17" customFormat="1" x14ac:dyDescent="0.25">
      <c r="B794" s="55"/>
      <c r="C794" s="55"/>
      <c r="F794" s="66"/>
      <c r="G794" s="236"/>
      <c r="I794" s="145"/>
      <c r="J794" s="148"/>
      <c r="K794" s="149"/>
    </row>
    <row r="795" spans="2:11" s="17" customFormat="1" x14ac:dyDescent="0.25">
      <c r="B795" s="55"/>
      <c r="C795" s="55"/>
      <c r="F795" s="66"/>
      <c r="G795" s="236"/>
      <c r="I795" s="145"/>
      <c r="J795" s="148"/>
      <c r="K795" s="149"/>
    </row>
    <row r="796" spans="2:11" s="17" customFormat="1" x14ac:dyDescent="0.25">
      <c r="B796" s="55"/>
      <c r="C796" s="55"/>
      <c r="F796" s="66"/>
      <c r="G796" s="236"/>
      <c r="I796" s="145"/>
      <c r="J796" s="148"/>
      <c r="K796" s="149"/>
    </row>
    <row r="797" spans="2:11" s="17" customFormat="1" x14ac:dyDescent="0.25">
      <c r="B797" s="55"/>
      <c r="C797" s="55"/>
      <c r="F797" s="66"/>
      <c r="G797" s="236"/>
      <c r="I797" s="145"/>
      <c r="J797" s="148"/>
      <c r="K797" s="149"/>
    </row>
    <row r="798" spans="2:11" s="17" customFormat="1" x14ac:dyDescent="0.25">
      <c r="B798" s="55"/>
      <c r="C798" s="55"/>
      <c r="F798" s="66"/>
      <c r="G798" s="236"/>
      <c r="I798" s="145"/>
      <c r="J798" s="148"/>
      <c r="K798" s="149"/>
    </row>
    <row r="799" spans="2:11" s="17" customFormat="1" x14ac:dyDescent="0.25">
      <c r="B799" s="55"/>
      <c r="C799" s="55"/>
      <c r="F799" s="66"/>
      <c r="G799" s="236"/>
      <c r="I799" s="145"/>
      <c r="J799" s="148"/>
      <c r="K799" s="149"/>
    </row>
    <row r="800" spans="2:11" s="17" customFormat="1" x14ac:dyDescent="0.25">
      <c r="B800" s="55"/>
      <c r="C800" s="55"/>
      <c r="F800" s="66"/>
      <c r="G800" s="236"/>
      <c r="I800" s="145"/>
      <c r="J800" s="148"/>
      <c r="K800" s="149"/>
    </row>
    <row r="801" spans="2:11" s="17" customFormat="1" x14ac:dyDescent="0.25">
      <c r="B801" s="55"/>
      <c r="C801" s="55"/>
      <c r="F801" s="66"/>
      <c r="G801" s="236"/>
      <c r="I801" s="145"/>
      <c r="J801" s="148"/>
      <c r="K801" s="149"/>
    </row>
    <row r="802" spans="2:11" s="17" customFormat="1" x14ac:dyDescent="0.25">
      <c r="B802" s="55"/>
      <c r="C802" s="55"/>
      <c r="F802" s="66"/>
      <c r="G802" s="236"/>
      <c r="I802" s="145"/>
      <c r="J802" s="148"/>
      <c r="K802" s="149"/>
    </row>
    <row r="803" spans="2:11" s="17" customFormat="1" x14ac:dyDescent="0.25">
      <c r="B803" s="55"/>
      <c r="C803" s="55"/>
      <c r="F803" s="66"/>
      <c r="G803" s="236"/>
      <c r="I803" s="145"/>
      <c r="J803" s="148"/>
      <c r="K803" s="149"/>
    </row>
    <row r="804" spans="2:11" s="17" customFormat="1" x14ac:dyDescent="0.25">
      <c r="B804" s="55"/>
      <c r="C804" s="55"/>
      <c r="F804" s="66"/>
      <c r="G804" s="236"/>
      <c r="I804" s="145"/>
      <c r="J804" s="148"/>
      <c r="K804" s="149"/>
    </row>
    <row r="805" spans="2:11" s="17" customFormat="1" x14ac:dyDescent="0.25">
      <c r="B805" s="55"/>
      <c r="C805" s="55"/>
      <c r="F805" s="66"/>
      <c r="G805" s="236"/>
      <c r="I805" s="145"/>
      <c r="J805" s="148"/>
      <c r="K805" s="149"/>
    </row>
    <row r="806" spans="2:11" s="17" customFormat="1" x14ac:dyDescent="0.25">
      <c r="B806" s="55"/>
      <c r="C806" s="55"/>
      <c r="F806" s="66"/>
      <c r="G806" s="236"/>
      <c r="I806" s="145"/>
      <c r="J806" s="148"/>
      <c r="K806" s="149"/>
    </row>
    <row r="807" spans="2:11" s="17" customFormat="1" x14ac:dyDescent="0.25">
      <c r="B807" s="55"/>
      <c r="C807" s="55"/>
      <c r="F807" s="66"/>
      <c r="G807" s="236"/>
      <c r="I807" s="145"/>
      <c r="J807" s="148"/>
      <c r="K807" s="149"/>
    </row>
    <row r="808" spans="2:11" s="17" customFormat="1" x14ac:dyDescent="0.25">
      <c r="B808" s="55"/>
      <c r="C808" s="55"/>
      <c r="F808" s="66"/>
      <c r="G808" s="236"/>
      <c r="I808" s="145"/>
      <c r="J808" s="148"/>
      <c r="K808" s="149"/>
    </row>
    <row r="809" spans="2:11" s="17" customFormat="1" x14ac:dyDescent="0.25">
      <c r="B809" s="55"/>
      <c r="C809" s="55"/>
      <c r="F809" s="66"/>
      <c r="G809" s="236"/>
      <c r="I809" s="145"/>
      <c r="J809" s="148"/>
      <c r="K809" s="149"/>
    </row>
    <row r="810" spans="2:11" s="17" customFormat="1" x14ac:dyDescent="0.25">
      <c r="B810" s="55"/>
      <c r="C810" s="55"/>
      <c r="F810" s="66"/>
      <c r="G810" s="236"/>
      <c r="I810" s="145"/>
      <c r="J810" s="148"/>
      <c r="K810" s="149"/>
    </row>
    <row r="811" spans="2:11" s="17" customFormat="1" x14ac:dyDescent="0.25">
      <c r="B811" s="55"/>
      <c r="C811" s="55"/>
      <c r="F811" s="66"/>
      <c r="G811" s="236"/>
      <c r="I811" s="145"/>
      <c r="J811" s="148"/>
      <c r="K811" s="149"/>
    </row>
    <row r="812" spans="2:11" s="17" customFormat="1" x14ac:dyDescent="0.25">
      <c r="B812" s="55"/>
      <c r="C812" s="55"/>
      <c r="F812" s="66"/>
      <c r="G812" s="236"/>
      <c r="I812" s="145"/>
      <c r="J812" s="148"/>
      <c r="K812" s="149"/>
    </row>
    <row r="813" spans="2:11" s="17" customFormat="1" x14ac:dyDescent="0.25">
      <c r="B813" s="55"/>
      <c r="C813" s="55"/>
      <c r="F813" s="66"/>
      <c r="G813" s="236"/>
      <c r="I813" s="145"/>
      <c r="J813" s="148"/>
      <c r="K813" s="149"/>
    </row>
    <row r="814" spans="2:11" s="17" customFormat="1" x14ac:dyDescent="0.25">
      <c r="B814" s="55"/>
      <c r="C814" s="55"/>
      <c r="F814" s="66"/>
      <c r="G814" s="236"/>
      <c r="I814" s="145"/>
      <c r="J814" s="148"/>
      <c r="K814" s="149"/>
    </row>
    <row r="815" spans="2:11" s="17" customFormat="1" x14ac:dyDescent="0.25">
      <c r="B815" s="55"/>
      <c r="C815" s="55"/>
      <c r="F815" s="66"/>
      <c r="G815" s="236"/>
      <c r="I815" s="145"/>
      <c r="J815" s="148"/>
      <c r="K815" s="149"/>
    </row>
    <row r="816" spans="2:11" s="17" customFormat="1" x14ac:dyDescent="0.25">
      <c r="B816" s="55"/>
      <c r="C816" s="55"/>
      <c r="F816" s="66"/>
      <c r="G816" s="236"/>
      <c r="I816" s="145"/>
      <c r="J816" s="148"/>
      <c r="K816" s="149"/>
    </row>
    <row r="817" spans="2:11" s="17" customFormat="1" x14ac:dyDescent="0.25">
      <c r="B817" s="55"/>
      <c r="C817" s="55"/>
      <c r="F817" s="66"/>
      <c r="G817" s="236"/>
      <c r="I817" s="145"/>
      <c r="J817" s="148"/>
      <c r="K817" s="149"/>
    </row>
    <row r="818" spans="2:11" s="17" customFormat="1" x14ac:dyDescent="0.25">
      <c r="B818" s="55"/>
      <c r="C818" s="55"/>
      <c r="F818" s="66"/>
      <c r="G818" s="236"/>
      <c r="I818" s="145"/>
      <c r="J818" s="148"/>
      <c r="K818" s="149"/>
    </row>
    <row r="819" spans="2:11" s="17" customFormat="1" x14ac:dyDescent="0.25">
      <c r="B819" s="55"/>
      <c r="C819" s="55"/>
      <c r="F819" s="66"/>
      <c r="G819" s="236"/>
      <c r="I819" s="145"/>
      <c r="J819" s="148"/>
      <c r="K819" s="149"/>
    </row>
    <row r="820" spans="2:11" s="17" customFormat="1" x14ac:dyDescent="0.25">
      <c r="B820" s="55"/>
      <c r="C820" s="55"/>
      <c r="F820" s="66"/>
      <c r="G820" s="236"/>
      <c r="I820" s="145"/>
      <c r="J820" s="148"/>
      <c r="K820" s="149"/>
    </row>
    <row r="821" spans="2:11" s="17" customFormat="1" x14ac:dyDescent="0.25">
      <c r="B821" s="55"/>
      <c r="C821" s="55"/>
      <c r="F821" s="66"/>
      <c r="G821" s="236"/>
      <c r="I821" s="145"/>
      <c r="J821" s="148"/>
      <c r="K821" s="149"/>
    </row>
    <row r="822" spans="2:11" s="17" customFormat="1" x14ac:dyDescent="0.25">
      <c r="B822" s="55"/>
      <c r="C822" s="55"/>
      <c r="F822" s="66"/>
      <c r="G822" s="236"/>
      <c r="I822" s="145"/>
      <c r="J822" s="148"/>
      <c r="K822" s="149"/>
    </row>
    <row r="823" spans="2:11" s="17" customFormat="1" x14ac:dyDescent="0.25">
      <c r="B823" s="55"/>
      <c r="C823" s="55"/>
      <c r="F823" s="66"/>
      <c r="G823" s="236"/>
      <c r="I823" s="145"/>
      <c r="J823" s="148"/>
      <c r="K823" s="149"/>
    </row>
    <row r="824" spans="2:11" s="17" customFormat="1" x14ac:dyDescent="0.25">
      <c r="B824" s="55"/>
      <c r="C824" s="55"/>
      <c r="F824" s="66"/>
      <c r="G824" s="236"/>
      <c r="I824" s="145"/>
      <c r="J824" s="148"/>
      <c r="K824" s="149"/>
    </row>
    <row r="825" spans="2:11" s="17" customFormat="1" x14ac:dyDescent="0.25">
      <c r="B825" s="55"/>
      <c r="C825" s="55"/>
      <c r="F825" s="66"/>
      <c r="G825" s="236"/>
      <c r="I825" s="145"/>
      <c r="J825" s="148"/>
      <c r="K825" s="149"/>
    </row>
    <row r="826" spans="2:11" s="17" customFormat="1" x14ac:dyDescent="0.25">
      <c r="B826" s="55"/>
      <c r="C826" s="55"/>
      <c r="F826" s="66"/>
      <c r="G826" s="236"/>
      <c r="I826" s="145"/>
      <c r="J826" s="148"/>
      <c r="K826" s="149"/>
    </row>
    <row r="827" spans="2:11" s="17" customFormat="1" x14ac:dyDescent="0.25">
      <c r="B827" s="55"/>
      <c r="C827" s="55"/>
      <c r="F827" s="66"/>
      <c r="G827" s="236"/>
      <c r="I827" s="145"/>
      <c r="J827" s="148"/>
      <c r="K827" s="149"/>
    </row>
    <row r="828" spans="2:11" s="17" customFormat="1" x14ac:dyDescent="0.25">
      <c r="B828" s="55"/>
      <c r="C828" s="55"/>
      <c r="F828" s="66"/>
      <c r="G828" s="236"/>
      <c r="I828" s="145"/>
      <c r="J828" s="148"/>
      <c r="K828" s="149"/>
    </row>
    <row r="829" spans="2:11" s="17" customFormat="1" x14ac:dyDescent="0.25">
      <c r="B829" s="55"/>
      <c r="C829" s="55"/>
      <c r="F829" s="66"/>
      <c r="G829" s="236"/>
      <c r="I829" s="145"/>
      <c r="J829" s="148"/>
      <c r="K829" s="149"/>
    </row>
    <row r="830" spans="2:11" s="17" customFormat="1" x14ac:dyDescent="0.25">
      <c r="B830" s="55"/>
      <c r="C830" s="55"/>
      <c r="F830" s="66"/>
      <c r="G830" s="236"/>
      <c r="I830" s="145"/>
      <c r="J830" s="148"/>
      <c r="K830" s="149"/>
    </row>
    <row r="831" spans="2:11" s="17" customFormat="1" x14ac:dyDescent="0.25">
      <c r="B831" s="55"/>
      <c r="C831" s="55"/>
      <c r="F831" s="66"/>
      <c r="G831" s="236"/>
      <c r="I831" s="145"/>
      <c r="J831" s="148"/>
      <c r="K831" s="149"/>
    </row>
    <row r="832" spans="2:11" s="17" customFormat="1" x14ac:dyDescent="0.25">
      <c r="B832" s="55"/>
      <c r="C832" s="55"/>
      <c r="F832" s="66"/>
      <c r="G832" s="236"/>
      <c r="I832" s="145"/>
      <c r="J832" s="148"/>
      <c r="K832" s="149"/>
    </row>
    <row r="833" spans="2:11" s="17" customFormat="1" x14ac:dyDescent="0.25">
      <c r="B833" s="55"/>
      <c r="C833" s="55"/>
      <c r="F833" s="66"/>
      <c r="G833" s="236"/>
      <c r="I833" s="145"/>
      <c r="J833" s="148"/>
      <c r="K833" s="149"/>
    </row>
    <row r="834" spans="2:11" s="17" customFormat="1" x14ac:dyDescent="0.25">
      <c r="B834" s="55"/>
      <c r="C834" s="55"/>
      <c r="F834" s="66"/>
      <c r="G834" s="236"/>
      <c r="I834" s="145"/>
      <c r="J834" s="148"/>
      <c r="K834" s="149"/>
    </row>
    <row r="835" spans="2:11" s="17" customFormat="1" x14ac:dyDescent="0.25">
      <c r="B835" s="55"/>
      <c r="C835" s="55"/>
      <c r="F835" s="66"/>
      <c r="G835" s="236"/>
      <c r="I835" s="145"/>
      <c r="J835" s="148"/>
      <c r="K835" s="149"/>
    </row>
    <row r="836" spans="2:11" s="17" customFormat="1" x14ac:dyDescent="0.25">
      <c r="B836" s="55"/>
      <c r="C836" s="55"/>
      <c r="F836" s="66"/>
      <c r="G836" s="236"/>
      <c r="I836" s="145"/>
      <c r="J836" s="148"/>
      <c r="K836" s="149"/>
    </row>
    <row r="837" spans="2:11" s="17" customFormat="1" x14ac:dyDescent="0.25">
      <c r="B837" s="55"/>
      <c r="C837" s="55"/>
      <c r="F837" s="66"/>
      <c r="G837" s="236"/>
      <c r="I837" s="145"/>
      <c r="J837" s="148"/>
      <c r="K837" s="149"/>
    </row>
    <row r="838" spans="2:11" s="17" customFormat="1" x14ac:dyDescent="0.25">
      <c r="B838" s="55"/>
      <c r="C838" s="55"/>
      <c r="F838" s="66"/>
      <c r="G838" s="236"/>
      <c r="I838" s="145"/>
      <c r="J838" s="148"/>
      <c r="K838" s="149"/>
    </row>
    <row r="839" spans="2:11" s="17" customFormat="1" x14ac:dyDescent="0.25">
      <c r="B839" s="55"/>
      <c r="C839" s="55"/>
      <c r="F839" s="66"/>
      <c r="G839" s="236"/>
      <c r="I839" s="145"/>
      <c r="J839" s="148"/>
      <c r="K839" s="149"/>
    </row>
    <row r="840" spans="2:11" s="17" customFormat="1" x14ac:dyDescent="0.25">
      <c r="B840" s="55"/>
      <c r="C840" s="55"/>
      <c r="F840" s="66"/>
      <c r="G840" s="236"/>
      <c r="I840" s="145"/>
      <c r="J840" s="148"/>
      <c r="K840" s="149"/>
    </row>
    <row r="841" spans="2:11" s="17" customFormat="1" x14ac:dyDescent="0.25">
      <c r="B841" s="55"/>
      <c r="C841" s="55"/>
      <c r="F841" s="66"/>
      <c r="G841" s="236"/>
      <c r="I841" s="145"/>
      <c r="J841" s="148"/>
      <c r="K841" s="149"/>
    </row>
    <row r="842" spans="2:11" s="17" customFormat="1" x14ac:dyDescent="0.25">
      <c r="B842" s="55"/>
      <c r="C842" s="55"/>
      <c r="F842" s="66"/>
      <c r="G842" s="236"/>
      <c r="I842" s="145"/>
      <c r="J842" s="148"/>
      <c r="K842" s="149"/>
    </row>
    <row r="843" spans="2:11" s="17" customFormat="1" x14ac:dyDescent="0.25">
      <c r="B843" s="55"/>
      <c r="C843" s="55"/>
      <c r="F843" s="66"/>
      <c r="G843" s="236"/>
      <c r="I843" s="145"/>
      <c r="J843" s="148"/>
      <c r="K843" s="149"/>
    </row>
    <row r="844" spans="2:11" s="17" customFormat="1" x14ac:dyDescent="0.25">
      <c r="B844" s="55"/>
      <c r="C844" s="55"/>
      <c r="F844" s="66"/>
      <c r="G844" s="236"/>
      <c r="I844" s="145"/>
      <c r="J844" s="148"/>
      <c r="K844" s="149"/>
    </row>
    <row r="845" spans="2:11" s="17" customFormat="1" x14ac:dyDescent="0.25">
      <c r="B845" s="55"/>
      <c r="C845" s="55"/>
      <c r="F845" s="66"/>
      <c r="G845" s="236"/>
      <c r="I845" s="145"/>
      <c r="J845" s="148"/>
      <c r="K845" s="149"/>
    </row>
    <row r="846" spans="2:11" s="17" customFormat="1" x14ac:dyDescent="0.25">
      <c r="B846" s="55"/>
      <c r="C846" s="55"/>
      <c r="F846" s="66"/>
      <c r="G846" s="236"/>
      <c r="I846" s="145"/>
      <c r="J846" s="148"/>
      <c r="K846" s="149"/>
    </row>
    <row r="847" spans="2:11" s="17" customFormat="1" x14ac:dyDescent="0.25">
      <c r="B847" s="55"/>
      <c r="C847" s="55"/>
      <c r="F847" s="66"/>
      <c r="G847" s="236"/>
      <c r="I847" s="145"/>
      <c r="J847" s="148"/>
      <c r="K847" s="149"/>
    </row>
    <row r="848" spans="2:11" s="17" customFormat="1" x14ac:dyDescent="0.25">
      <c r="B848" s="55"/>
      <c r="C848" s="55"/>
      <c r="F848" s="66"/>
      <c r="G848" s="236"/>
      <c r="I848" s="145"/>
      <c r="J848" s="148"/>
      <c r="K848" s="149"/>
    </row>
    <row r="849" spans="2:11" s="17" customFormat="1" x14ac:dyDescent="0.25">
      <c r="B849" s="55"/>
      <c r="C849" s="55"/>
      <c r="F849" s="66"/>
      <c r="G849" s="236"/>
      <c r="I849" s="145"/>
      <c r="J849" s="148"/>
      <c r="K849" s="149"/>
    </row>
    <row r="850" spans="2:11" s="17" customFormat="1" x14ac:dyDescent="0.25">
      <c r="B850" s="55"/>
      <c r="C850" s="55"/>
      <c r="F850" s="66"/>
      <c r="G850" s="236"/>
      <c r="I850" s="145"/>
      <c r="J850" s="148"/>
      <c r="K850" s="149"/>
    </row>
    <row r="851" spans="2:11" s="17" customFormat="1" x14ac:dyDescent="0.25">
      <c r="B851" s="55"/>
      <c r="C851" s="55"/>
      <c r="F851" s="66"/>
      <c r="G851" s="236"/>
      <c r="I851" s="145"/>
      <c r="J851" s="148"/>
      <c r="K851" s="149"/>
    </row>
    <row r="852" spans="2:11" s="17" customFormat="1" x14ac:dyDescent="0.25">
      <c r="B852" s="55"/>
      <c r="C852" s="55"/>
      <c r="F852" s="66"/>
      <c r="G852" s="236"/>
      <c r="I852" s="145"/>
      <c r="J852" s="148"/>
      <c r="K852" s="149"/>
    </row>
    <row r="853" spans="2:11" s="17" customFormat="1" x14ac:dyDescent="0.25">
      <c r="B853" s="55"/>
      <c r="C853" s="55"/>
      <c r="F853" s="66"/>
      <c r="G853" s="236"/>
      <c r="I853" s="145"/>
      <c r="J853" s="148"/>
      <c r="K853" s="149"/>
    </row>
    <row r="854" spans="2:11" s="17" customFormat="1" x14ac:dyDescent="0.25">
      <c r="B854" s="55"/>
      <c r="C854" s="55"/>
      <c r="F854" s="66"/>
      <c r="G854" s="236"/>
      <c r="I854" s="145"/>
      <c r="J854" s="148"/>
      <c r="K854" s="149"/>
    </row>
    <row r="855" spans="2:11" s="17" customFormat="1" x14ac:dyDescent="0.25">
      <c r="B855" s="55"/>
      <c r="C855" s="55"/>
      <c r="F855" s="66"/>
      <c r="G855" s="236"/>
      <c r="I855" s="145"/>
      <c r="J855" s="148"/>
      <c r="K855" s="149"/>
    </row>
    <row r="856" spans="2:11" s="17" customFormat="1" x14ac:dyDescent="0.25">
      <c r="B856" s="55"/>
      <c r="C856" s="55"/>
      <c r="F856" s="66"/>
      <c r="G856" s="236"/>
      <c r="I856" s="145"/>
      <c r="J856" s="148"/>
      <c r="K856" s="149"/>
    </row>
    <row r="857" spans="2:11" s="17" customFormat="1" x14ac:dyDescent="0.25">
      <c r="B857" s="55"/>
      <c r="C857" s="55"/>
      <c r="F857" s="66"/>
      <c r="G857" s="236"/>
      <c r="I857" s="145"/>
      <c r="J857" s="148"/>
      <c r="K857" s="149"/>
    </row>
    <row r="858" spans="2:11" s="17" customFormat="1" x14ac:dyDescent="0.25">
      <c r="B858" s="55"/>
      <c r="C858" s="55"/>
      <c r="F858" s="66"/>
      <c r="G858" s="236"/>
      <c r="I858" s="145"/>
      <c r="J858" s="148"/>
      <c r="K858" s="149"/>
    </row>
    <row r="859" spans="2:11" s="17" customFormat="1" x14ac:dyDescent="0.25">
      <c r="B859" s="55"/>
      <c r="C859" s="55"/>
      <c r="F859" s="66"/>
      <c r="G859" s="236"/>
      <c r="I859" s="145"/>
      <c r="J859" s="148"/>
      <c r="K859" s="149"/>
    </row>
    <row r="860" spans="2:11" s="17" customFormat="1" x14ac:dyDescent="0.25">
      <c r="B860" s="55"/>
      <c r="C860" s="55"/>
      <c r="F860" s="66"/>
      <c r="G860" s="236"/>
      <c r="I860" s="145"/>
      <c r="J860" s="148"/>
      <c r="K860" s="149"/>
    </row>
    <row r="861" spans="2:11" s="17" customFormat="1" x14ac:dyDescent="0.25">
      <c r="B861" s="55"/>
      <c r="C861" s="55"/>
      <c r="F861" s="66"/>
      <c r="G861" s="236"/>
      <c r="I861" s="145"/>
      <c r="J861" s="148"/>
      <c r="K861" s="149"/>
    </row>
    <row r="862" spans="2:11" s="17" customFormat="1" x14ac:dyDescent="0.25">
      <c r="B862" s="55"/>
      <c r="C862" s="55"/>
      <c r="F862" s="66"/>
      <c r="G862" s="236"/>
      <c r="I862" s="145"/>
      <c r="J862" s="148"/>
      <c r="K862" s="149"/>
    </row>
    <row r="863" spans="2:11" s="17" customFormat="1" x14ac:dyDescent="0.25">
      <c r="B863" s="55"/>
      <c r="C863" s="55"/>
      <c r="F863" s="66"/>
      <c r="G863" s="236"/>
      <c r="I863" s="145"/>
      <c r="J863" s="148"/>
      <c r="K863" s="149"/>
    </row>
    <row r="864" spans="2:11" s="17" customFormat="1" x14ac:dyDescent="0.25">
      <c r="B864" s="55"/>
      <c r="C864" s="55"/>
      <c r="F864" s="66"/>
      <c r="G864" s="236"/>
      <c r="I864" s="145"/>
      <c r="J864" s="148"/>
      <c r="K864" s="149"/>
    </row>
    <row r="865" spans="2:11" s="17" customFormat="1" x14ac:dyDescent="0.25">
      <c r="B865" s="55"/>
      <c r="C865" s="55"/>
      <c r="F865" s="66"/>
      <c r="G865" s="236"/>
      <c r="I865" s="145"/>
      <c r="J865" s="148"/>
      <c r="K865" s="149"/>
    </row>
    <row r="866" spans="2:11" s="17" customFormat="1" x14ac:dyDescent="0.25">
      <c r="B866" s="55"/>
      <c r="C866" s="55"/>
      <c r="F866" s="66"/>
      <c r="G866" s="236"/>
      <c r="I866" s="145"/>
      <c r="J866" s="148"/>
      <c r="K866" s="149"/>
    </row>
    <row r="867" spans="2:11" s="17" customFormat="1" x14ac:dyDescent="0.25">
      <c r="B867" s="55"/>
      <c r="C867" s="55"/>
      <c r="F867" s="66"/>
      <c r="G867" s="236"/>
      <c r="I867" s="145"/>
      <c r="J867" s="148"/>
      <c r="K867" s="149"/>
    </row>
    <row r="868" spans="2:11" s="17" customFormat="1" x14ac:dyDescent="0.25">
      <c r="B868" s="55"/>
      <c r="C868" s="55"/>
      <c r="F868" s="66"/>
      <c r="G868" s="236"/>
      <c r="I868" s="145"/>
      <c r="J868" s="148"/>
      <c r="K868" s="149"/>
    </row>
    <row r="869" spans="2:11" s="17" customFormat="1" x14ac:dyDescent="0.25">
      <c r="B869" s="55"/>
      <c r="C869" s="55"/>
      <c r="F869" s="66"/>
      <c r="G869" s="236"/>
      <c r="I869" s="145"/>
      <c r="J869" s="148"/>
      <c r="K869" s="149"/>
    </row>
    <row r="870" spans="2:11" s="17" customFormat="1" x14ac:dyDescent="0.25">
      <c r="B870" s="55"/>
      <c r="C870" s="55"/>
      <c r="F870" s="66"/>
      <c r="G870" s="236"/>
      <c r="I870" s="145"/>
      <c r="J870" s="148"/>
      <c r="K870" s="149"/>
    </row>
    <row r="871" spans="2:11" s="17" customFormat="1" x14ac:dyDescent="0.25">
      <c r="B871" s="55"/>
      <c r="C871" s="55"/>
      <c r="F871" s="66"/>
      <c r="G871" s="236"/>
      <c r="I871" s="145"/>
      <c r="J871" s="148"/>
      <c r="K871" s="149"/>
    </row>
    <row r="872" spans="2:11" s="17" customFormat="1" x14ac:dyDescent="0.25">
      <c r="B872" s="55"/>
      <c r="C872" s="55"/>
      <c r="F872" s="66"/>
      <c r="G872" s="236"/>
      <c r="I872" s="145"/>
      <c r="J872" s="148"/>
      <c r="K872" s="149"/>
    </row>
    <row r="873" spans="2:11" s="17" customFormat="1" x14ac:dyDescent="0.25">
      <c r="B873" s="55"/>
      <c r="C873" s="55"/>
      <c r="F873" s="66"/>
      <c r="G873" s="236"/>
      <c r="I873" s="145"/>
      <c r="J873" s="148"/>
      <c r="K873" s="149"/>
    </row>
    <row r="874" spans="2:11" s="17" customFormat="1" x14ac:dyDescent="0.25">
      <c r="B874" s="55"/>
      <c r="C874" s="55"/>
      <c r="F874" s="66"/>
      <c r="G874" s="236"/>
      <c r="I874" s="145"/>
      <c r="J874" s="148"/>
      <c r="K874" s="149"/>
    </row>
    <row r="875" spans="2:11" s="17" customFormat="1" x14ac:dyDescent="0.25">
      <c r="B875" s="55"/>
      <c r="C875" s="55"/>
      <c r="F875" s="66"/>
      <c r="G875" s="236"/>
      <c r="I875" s="145"/>
      <c r="J875" s="148"/>
      <c r="K875" s="149"/>
    </row>
    <row r="876" spans="2:11" s="17" customFormat="1" x14ac:dyDescent="0.25">
      <c r="B876" s="55"/>
      <c r="C876" s="55"/>
      <c r="F876" s="66"/>
      <c r="G876" s="236"/>
      <c r="I876" s="145"/>
      <c r="J876" s="148"/>
      <c r="K876" s="149"/>
    </row>
    <row r="877" spans="2:11" s="17" customFormat="1" x14ac:dyDescent="0.25">
      <c r="B877" s="55"/>
      <c r="C877" s="55"/>
      <c r="F877" s="66"/>
      <c r="G877" s="236"/>
      <c r="I877" s="145"/>
      <c r="J877" s="148"/>
      <c r="K877" s="149"/>
    </row>
    <row r="878" spans="2:11" s="17" customFormat="1" x14ac:dyDescent="0.25">
      <c r="B878" s="55"/>
      <c r="C878" s="55"/>
      <c r="F878" s="66"/>
      <c r="G878" s="236"/>
      <c r="I878" s="145"/>
      <c r="J878" s="148"/>
      <c r="K878" s="149"/>
    </row>
    <row r="879" spans="2:11" s="17" customFormat="1" x14ac:dyDescent="0.25">
      <c r="B879" s="55"/>
      <c r="C879" s="55"/>
      <c r="F879" s="66"/>
      <c r="G879" s="236"/>
      <c r="I879" s="145"/>
      <c r="J879" s="148"/>
      <c r="K879" s="149"/>
    </row>
    <row r="880" spans="2:11" s="17" customFormat="1" x14ac:dyDescent="0.25">
      <c r="B880" s="55"/>
      <c r="C880" s="55"/>
      <c r="F880" s="66"/>
      <c r="G880" s="236"/>
      <c r="I880" s="145"/>
      <c r="J880" s="148"/>
      <c r="K880" s="149"/>
    </row>
    <row r="881" spans="2:11" s="17" customFormat="1" x14ac:dyDescent="0.25">
      <c r="B881" s="55"/>
      <c r="C881" s="55"/>
      <c r="F881" s="66"/>
      <c r="G881" s="236"/>
      <c r="I881" s="145"/>
      <c r="J881" s="148"/>
      <c r="K881" s="149"/>
    </row>
    <row r="882" spans="2:11" s="17" customFormat="1" x14ac:dyDescent="0.25">
      <c r="B882" s="55"/>
      <c r="C882" s="55"/>
      <c r="F882" s="66"/>
      <c r="G882" s="236"/>
      <c r="I882" s="145"/>
      <c r="J882" s="148"/>
      <c r="K882" s="149"/>
    </row>
    <row r="883" spans="2:11" s="17" customFormat="1" x14ac:dyDescent="0.25">
      <c r="B883" s="55"/>
      <c r="C883" s="55"/>
      <c r="F883" s="66"/>
      <c r="G883" s="236"/>
      <c r="I883" s="145"/>
      <c r="J883" s="148"/>
      <c r="K883" s="149"/>
    </row>
    <row r="884" spans="2:11" s="17" customFormat="1" x14ac:dyDescent="0.25">
      <c r="B884" s="55"/>
      <c r="C884" s="55"/>
      <c r="F884" s="66"/>
      <c r="G884" s="236"/>
      <c r="I884" s="145"/>
      <c r="J884" s="148"/>
      <c r="K884" s="149"/>
    </row>
    <row r="885" spans="2:11" s="17" customFormat="1" x14ac:dyDescent="0.25">
      <c r="B885" s="55"/>
      <c r="C885" s="55"/>
      <c r="F885" s="66"/>
      <c r="G885" s="236"/>
      <c r="I885" s="145"/>
      <c r="J885" s="148"/>
      <c r="K885" s="149"/>
    </row>
    <row r="886" spans="2:11" s="17" customFormat="1" x14ac:dyDescent="0.25">
      <c r="B886" s="55"/>
      <c r="C886" s="55"/>
      <c r="F886" s="66"/>
      <c r="G886" s="236"/>
      <c r="I886" s="145"/>
      <c r="J886" s="148"/>
      <c r="K886" s="149"/>
    </row>
    <row r="887" spans="2:11" s="17" customFormat="1" x14ac:dyDescent="0.25">
      <c r="B887" s="55"/>
      <c r="C887" s="55"/>
      <c r="F887" s="66"/>
      <c r="G887" s="236"/>
      <c r="I887" s="145"/>
      <c r="J887" s="148"/>
      <c r="K887" s="149"/>
    </row>
    <row r="888" spans="2:11" s="17" customFormat="1" x14ac:dyDescent="0.25">
      <c r="B888" s="55"/>
      <c r="C888" s="55"/>
      <c r="F888" s="66"/>
      <c r="G888" s="236"/>
      <c r="I888" s="145"/>
      <c r="J888" s="148"/>
      <c r="K888" s="149"/>
    </row>
    <row r="889" spans="2:11" s="17" customFormat="1" x14ac:dyDescent="0.25">
      <c r="B889" s="55"/>
      <c r="C889" s="55"/>
      <c r="F889" s="66"/>
      <c r="G889" s="236"/>
      <c r="I889" s="145"/>
      <c r="J889" s="148"/>
      <c r="K889" s="149"/>
    </row>
    <row r="890" spans="2:11" s="17" customFormat="1" x14ac:dyDescent="0.25">
      <c r="B890" s="55"/>
      <c r="C890" s="55"/>
      <c r="F890" s="66"/>
      <c r="G890" s="236"/>
      <c r="I890" s="145"/>
      <c r="J890" s="148"/>
      <c r="K890" s="149"/>
    </row>
    <row r="891" spans="2:11" s="17" customFormat="1" x14ac:dyDescent="0.25">
      <c r="B891" s="55"/>
      <c r="C891" s="55"/>
      <c r="F891" s="66"/>
      <c r="G891" s="236"/>
      <c r="I891" s="145"/>
      <c r="J891" s="148"/>
      <c r="K891" s="149"/>
    </row>
    <row r="892" spans="2:11" s="17" customFormat="1" x14ac:dyDescent="0.25">
      <c r="B892" s="55"/>
      <c r="C892" s="55"/>
      <c r="F892" s="66"/>
      <c r="G892" s="236"/>
      <c r="I892" s="145"/>
      <c r="J892" s="148"/>
      <c r="K892" s="149"/>
    </row>
    <row r="893" spans="2:11" s="17" customFormat="1" x14ac:dyDescent="0.25">
      <c r="B893" s="55"/>
      <c r="C893" s="55"/>
      <c r="F893" s="66"/>
      <c r="G893" s="236"/>
      <c r="I893" s="145"/>
      <c r="J893" s="148"/>
      <c r="K893" s="149"/>
    </row>
    <row r="894" spans="2:11" s="17" customFormat="1" x14ac:dyDescent="0.25">
      <c r="B894" s="55"/>
      <c r="C894" s="55"/>
      <c r="F894" s="66"/>
      <c r="G894" s="236"/>
      <c r="I894" s="145"/>
      <c r="J894" s="148"/>
      <c r="K894" s="149"/>
    </row>
    <row r="895" spans="2:11" s="17" customFormat="1" x14ac:dyDescent="0.25">
      <c r="B895" s="55"/>
      <c r="C895" s="55"/>
      <c r="F895" s="66"/>
      <c r="G895" s="236"/>
      <c r="I895" s="145"/>
      <c r="J895" s="148"/>
      <c r="K895" s="149"/>
    </row>
    <row r="896" spans="2:11" s="17" customFormat="1" x14ac:dyDescent="0.25">
      <c r="B896" s="55"/>
      <c r="C896" s="55"/>
      <c r="F896" s="66"/>
      <c r="G896" s="236"/>
      <c r="I896" s="145"/>
      <c r="J896" s="148"/>
      <c r="K896" s="149"/>
    </row>
    <row r="897" spans="2:11" s="17" customFormat="1" x14ac:dyDescent="0.25">
      <c r="B897" s="55"/>
      <c r="C897" s="55"/>
      <c r="F897" s="66"/>
      <c r="G897" s="236"/>
      <c r="I897" s="145"/>
      <c r="J897" s="148"/>
      <c r="K897" s="149"/>
    </row>
    <row r="898" spans="2:11" s="17" customFormat="1" x14ac:dyDescent="0.25">
      <c r="B898" s="55"/>
      <c r="C898" s="55"/>
      <c r="F898" s="66"/>
      <c r="G898" s="236"/>
      <c r="I898" s="145"/>
      <c r="J898" s="148"/>
      <c r="K898" s="149"/>
    </row>
    <row r="899" spans="2:11" s="17" customFormat="1" x14ac:dyDescent="0.25">
      <c r="B899" s="55"/>
      <c r="C899" s="55"/>
      <c r="F899" s="66"/>
      <c r="G899" s="236"/>
      <c r="I899" s="145"/>
      <c r="J899" s="148"/>
      <c r="K899" s="149"/>
    </row>
    <row r="900" spans="2:11" s="17" customFormat="1" x14ac:dyDescent="0.25">
      <c r="B900" s="55"/>
      <c r="C900" s="55"/>
      <c r="F900" s="66"/>
      <c r="G900" s="236"/>
      <c r="I900" s="145"/>
      <c r="J900" s="148"/>
      <c r="K900" s="149"/>
    </row>
    <row r="901" spans="2:11" s="17" customFormat="1" x14ac:dyDescent="0.25">
      <c r="B901" s="55"/>
      <c r="C901" s="55"/>
      <c r="F901" s="66"/>
      <c r="G901" s="236"/>
      <c r="I901" s="145"/>
      <c r="J901" s="148"/>
      <c r="K901" s="149"/>
    </row>
    <row r="902" spans="2:11" s="17" customFormat="1" x14ac:dyDescent="0.25">
      <c r="B902" s="55"/>
      <c r="C902" s="55"/>
      <c r="F902" s="66"/>
      <c r="G902" s="236"/>
      <c r="I902" s="145"/>
      <c r="J902" s="148"/>
      <c r="K902" s="149"/>
    </row>
    <row r="903" spans="2:11" s="17" customFormat="1" x14ac:dyDescent="0.25">
      <c r="B903" s="55"/>
      <c r="C903" s="55"/>
      <c r="F903" s="66"/>
      <c r="G903" s="236"/>
      <c r="I903" s="145"/>
      <c r="J903" s="148"/>
      <c r="K903" s="149"/>
    </row>
    <row r="904" spans="2:11" s="17" customFormat="1" x14ac:dyDescent="0.25">
      <c r="B904" s="55"/>
      <c r="C904" s="55"/>
      <c r="F904" s="66"/>
      <c r="G904" s="236"/>
      <c r="I904" s="145"/>
      <c r="J904" s="148"/>
      <c r="K904" s="149"/>
    </row>
    <row r="905" spans="2:11" s="17" customFormat="1" x14ac:dyDescent="0.25">
      <c r="B905" s="55"/>
      <c r="C905" s="55"/>
      <c r="F905" s="66"/>
      <c r="G905" s="236"/>
      <c r="I905" s="145"/>
      <c r="J905" s="148"/>
      <c r="K905" s="149"/>
    </row>
    <row r="906" spans="2:11" s="17" customFormat="1" x14ac:dyDescent="0.25">
      <c r="B906" s="55"/>
      <c r="C906" s="55"/>
      <c r="F906" s="66"/>
      <c r="G906" s="236"/>
      <c r="I906" s="145"/>
      <c r="J906" s="148"/>
      <c r="K906" s="149"/>
    </row>
    <row r="907" spans="2:11" s="17" customFormat="1" x14ac:dyDescent="0.25">
      <c r="B907" s="55"/>
      <c r="C907" s="55"/>
      <c r="F907" s="66"/>
      <c r="G907" s="236"/>
      <c r="I907" s="145"/>
      <c r="J907" s="148"/>
      <c r="K907" s="149"/>
    </row>
    <row r="908" spans="2:11" s="17" customFormat="1" x14ac:dyDescent="0.25">
      <c r="B908" s="55"/>
      <c r="C908" s="55"/>
      <c r="F908" s="66"/>
      <c r="G908" s="236"/>
      <c r="I908" s="145"/>
      <c r="J908" s="148"/>
      <c r="K908" s="149"/>
    </row>
    <row r="909" spans="2:11" s="17" customFormat="1" x14ac:dyDescent="0.25">
      <c r="B909" s="55"/>
      <c r="C909" s="55"/>
      <c r="F909" s="66"/>
      <c r="G909" s="236"/>
      <c r="I909" s="145"/>
      <c r="J909" s="148"/>
      <c r="K909" s="149"/>
    </row>
    <row r="910" spans="2:11" s="17" customFormat="1" x14ac:dyDescent="0.25">
      <c r="B910" s="55"/>
      <c r="C910" s="55"/>
      <c r="F910" s="66"/>
      <c r="G910" s="236"/>
      <c r="I910" s="145"/>
      <c r="J910" s="148"/>
      <c r="K910" s="149"/>
    </row>
    <row r="911" spans="2:11" s="17" customFormat="1" x14ac:dyDescent="0.25">
      <c r="B911" s="55"/>
      <c r="C911" s="55"/>
      <c r="F911" s="66"/>
      <c r="G911" s="236"/>
      <c r="I911" s="145"/>
      <c r="J911" s="148"/>
      <c r="K911" s="149"/>
    </row>
    <row r="912" spans="2:11" s="17" customFormat="1" x14ac:dyDescent="0.25">
      <c r="B912" s="55"/>
      <c r="C912" s="55"/>
      <c r="F912" s="66"/>
      <c r="G912" s="236"/>
      <c r="I912" s="145"/>
      <c r="J912" s="148"/>
      <c r="K912" s="149"/>
    </row>
    <row r="913" spans="2:11" s="17" customFormat="1" x14ac:dyDescent="0.25">
      <c r="B913" s="55"/>
      <c r="C913" s="55"/>
      <c r="F913" s="66"/>
      <c r="G913" s="236"/>
      <c r="I913" s="145"/>
      <c r="J913" s="148"/>
      <c r="K913" s="149"/>
    </row>
    <row r="914" spans="2:11" s="17" customFormat="1" x14ac:dyDescent="0.25">
      <c r="B914" s="55"/>
      <c r="C914" s="55"/>
      <c r="F914" s="66"/>
      <c r="G914" s="236"/>
      <c r="I914" s="145"/>
      <c r="J914" s="148"/>
      <c r="K914" s="149"/>
    </row>
    <row r="915" spans="2:11" s="17" customFormat="1" x14ac:dyDescent="0.25">
      <c r="B915" s="55"/>
      <c r="C915" s="55"/>
      <c r="F915" s="66"/>
      <c r="G915" s="236"/>
      <c r="I915" s="145"/>
      <c r="J915" s="148"/>
      <c r="K915" s="149"/>
    </row>
    <row r="916" spans="2:11" s="17" customFormat="1" x14ac:dyDescent="0.25">
      <c r="B916" s="55"/>
      <c r="C916" s="55"/>
      <c r="F916" s="66"/>
      <c r="G916" s="236"/>
      <c r="I916" s="145"/>
      <c r="J916" s="148"/>
      <c r="K916" s="149"/>
    </row>
    <row r="917" spans="2:11" s="17" customFormat="1" x14ac:dyDescent="0.25">
      <c r="B917" s="55"/>
      <c r="C917" s="55"/>
      <c r="F917" s="66"/>
      <c r="G917" s="236"/>
      <c r="I917" s="145"/>
      <c r="J917" s="148"/>
      <c r="K917" s="149"/>
    </row>
    <row r="918" spans="2:11" s="17" customFormat="1" x14ac:dyDescent="0.25">
      <c r="B918" s="55"/>
      <c r="C918" s="55"/>
      <c r="F918" s="66"/>
      <c r="G918" s="236"/>
      <c r="I918" s="145"/>
      <c r="J918" s="148"/>
      <c r="K918" s="149"/>
    </row>
    <row r="919" spans="2:11" s="17" customFormat="1" x14ac:dyDescent="0.25">
      <c r="B919" s="55"/>
      <c r="C919" s="55"/>
      <c r="F919" s="66"/>
      <c r="G919" s="236"/>
      <c r="I919" s="145"/>
      <c r="J919" s="148"/>
      <c r="K919" s="149"/>
    </row>
    <row r="920" spans="2:11" s="17" customFormat="1" x14ac:dyDescent="0.25">
      <c r="B920" s="55"/>
      <c r="C920" s="55"/>
      <c r="F920" s="66"/>
      <c r="G920" s="236"/>
      <c r="I920" s="145"/>
      <c r="J920" s="148"/>
      <c r="K920" s="149"/>
    </row>
    <row r="921" spans="2:11" s="17" customFormat="1" x14ac:dyDescent="0.25">
      <c r="B921" s="55"/>
      <c r="C921" s="55"/>
      <c r="F921" s="66"/>
      <c r="G921" s="236"/>
      <c r="I921" s="145"/>
      <c r="J921" s="148"/>
      <c r="K921" s="149"/>
    </row>
    <row r="922" spans="2:11" s="17" customFormat="1" x14ac:dyDescent="0.25">
      <c r="B922" s="55"/>
      <c r="C922" s="55"/>
      <c r="F922" s="66"/>
      <c r="G922" s="236"/>
      <c r="I922" s="145"/>
      <c r="J922" s="148"/>
      <c r="K922" s="149"/>
    </row>
    <row r="923" spans="2:11" s="17" customFormat="1" x14ac:dyDescent="0.25">
      <c r="B923" s="55"/>
      <c r="C923" s="55"/>
      <c r="F923" s="66"/>
      <c r="G923" s="236"/>
      <c r="I923" s="145"/>
      <c r="J923" s="148"/>
      <c r="K923" s="149"/>
    </row>
    <row r="924" spans="2:11" s="17" customFormat="1" x14ac:dyDescent="0.25">
      <c r="B924" s="55"/>
      <c r="C924" s="55"/>
      <c r="F924" s="66"/>
      <c r="G924" s="236"/>
      <c r="I924" s="145"/>
      <c r="J924" s="148"/>
      <c r="K924" s="149"/>
    </row>
    <row r="925" spans="2:11" s="17" customFormat="1" x14ac:dyDescent="0.25">
      <c r="B925" s="55"/>
      <c r="C925" s="55"/>
      <c r="F925" s="66"/>
      <c r="G925" s="236"/>
      <c r="I925" s="145"/>
      <c r="J925" s="148"/>
      <c r="K925" s="149"/>
    </row>
    <row r="926" spans="2:11" s="17" customFormat="1" x14ac:dyDescent="0.25">
      <c r="B926" s="55"/>
      <c r="C926" s="55"/>
      <c r="F926" s="66"/>
      <c r="G926" s="236"/>
      <c r="I926" s="145"/>
      <c r="J926" s="148"/>
      <c r="K926" s="149"/>
    </row>
    <row r="927" spans="2:11" s="17" customFormat="1" x14ac:dyDescent="0.25">
      <c r="B927" s="55"/>
      <c r="C927" s="55"/>
      <c r="F927" s="66"/>
      <c r="G927" s="236"/>
      <c r="I927" s="145"/>
      <c r="J927" s="148"/>
      <c r="K927" s="149"/>
    </row>
    <row r="928" spans="2:11" s="17" customFormat="1" x14ac:dyDescent="0.25">
      <c r="B928" s="55"/>
      <c r="C928" s="55"/>
      <c r="F928" s="66"/>
      <c r="G928" s="236"/>
      <c r="I928" s="145"/>
      <c r="J928" s="148"/>
      <c r="K928" s="149"/>
    </row>
    <row r="929" spans="2:11" s="17" customFormat="1" x14ac:dyDescent="0.25">
      <c r="B929" s="55"/>
      <c r="C929" s="55"/>
      <c r="F929" s="66"/>
      <c r="G929" s="236"/>
      <c r="I929" s="145"/>
      <c r="J929" s="148"/>
      <c r="K929" s="149"/>
    </row>
    <row r="930" spans="2:11" s="17" customFormat="1" x14ac:dyDescent="0.25">
      <c r="B930" s="55"/>
      <c r="C930" s="55"/>
      <c r="F930" s="66"/>
      <c r="G930" s="236"/>
      <c r="I930" s="145"/>
      <c r="J930" s="148"/>
      <c r="K930" s="149"/>
    </row>
    <row r="931" spans="2:11" s="17" customFormat="1" x14ac:dyDescent="0.25">
      <c r="B931" s="55"/>
      <c r="C931" s="55"/>
      <c r="F931" s="66"/>
      <c r="G931" s="236"/>
      <c r="I931" s="145"/>
      <c r="J931" s="148"/>
      <c r="K931" s="149"/>
    </row>
    <row r="932" spans="2:11" s="17" customFormat="1" x14ac:dyDescent="0.25">
      <c r="B932" s="55"/>
      <c r="C932" s="55"/>
      <c r="F932" s="66"/>
      <c r="G932" s="236"/>
      <c r="I932" s="145"/>
      <c r="J932" s="148"/>
      <c r="K932" s="149"/>
    </row>
    <row r="933" spans="2:11" s="17" customFormat="1" x14ac:dyDescent="0.25">
      <c r="B933" s="55"/>
      <c r="C933" s="55"/>
      <c r="F933" s="66"/>
      <c r="G933" s="236"/>
      <c r="I933" s="145"/>
      <c r="J933" s="148"/>
      <c r="K933" s="149"/>
    </row>
    <row r="934" spans="2:11" s="17" customFormat="1" x14ac:dyDescent="0.25">
      <c r="B934" s="55"/>
      <c r="C934" s="55"/>
      <c r="F934" s="66"/>
      <c r="G934" s="236"/>
      <c r="I934" s="145"/>
      <c r="J934" s="148"/>
      <c r="K934" s="149"/>
    </row>
    <row r="935" spans="2:11" s="17" customFormat="1" x14ac:dyDescent="0.25">
      <c r="B935" s="55"/>
      <c r="C935" s="55"/>
      <c r="F935" s="66"/>
      <c r="G935" s="236"/>
      <c r="I935" s="145"/>
      <c r="J935" s="148"/>
      <c r="K935" s="149"/>
    </row>
    <row r="936" spans="2:11" s="17" customFormat="1" x14ac:dyDescent="0.25">
      <c r="B936" s="55"/>
      <c r="C936" s="55"/>
      <c r="F936" s="66"/>
      <c r="G936" s="236"/>
      <c r="I936" s="145"/>
      <c r="J936" s="148"/>
      <c r="K936" s="149"/>
    </row>
    <row r="937" spans="2:11" s="17" customFormat="1" x14ac:dyDescent="0.25">
      <c r="B937" s="55"/>
      <c r="C937" s="55"/>
      <c r="F937" s="66"/>
      <c r="G937" s="236"/>
      <c r="I937" s="145"/>
      <c r="J937" s="148"/>
      <c r="K937" s="149"/>
    </row>
    <row r="938" spans="2:11" s="17" customFormat="1" x14ac:dyDescent="0.25">
      <c r="B938" s="55"/>
      <c r="C938" s="55"/>
      <c r="F938" s="66"/>
      <c r="G938" s="236"/>
      <c r="I938" s="145"/>
      <c r="J938" s="148"/>
      <c r="K938" s="149"/>
    </row>
    <row r="939" spans="2:11" s="17" customFormat="1" x14ac:dyDescent="0.25">
      <c r="B939" s="55"/>
      <c r="C939" s="55"/>
      <c r="F939" s="66"/>
      <c r="G939" s="236"/>
      <c r="I939" s="145"/>
      <c r="J939" s="148"/>
      <c r="K939" s="149"/>
    </row>
    <row r="940" spans="2:11" s="17" customFormat="1" x14ac:dyDescent="0.25">
      <c r="B940" s="55"/>
      <c r="C940" s="55"/>
      <c r="F940" s="66"/>
      <c r="G940" s="236"/>
      <c r="I940" s="145"/>
      <c r="J940" s="148"/>
      <c r="K940" s="149"/>
    </row>
    <row r="941" spans="2:11" s="17" customFormat="1" x14ac:dyDescent="0.25">
      <c r="B941" s="55"/>
      <c r="C941" s="55"/>
      <c r="F941" s="66"/>
      <c r="G941" s="236"/>
      <c r="I941" s="145"/>
      <c r="J941" s="148"/>
      <c r="K941" s="149"/>
    </row>
    <row r="942" spans="2:11" s="17" customFormat="1" x14ac:dyDescent="0.25">
      <c r="B942" s="55"/>
      <c r="C942" s="55"/>
      <c r="F942" s="66"/>
      <c r="G942" s="236"/>
      <c r="I942" s="145"/>
      <c r="J942" s="148"/>
      <c r="K942" s="149"/>
    </row>
    <row r="943" spans="2:11" s="17" customFormat="1" x14ac:dyDescent="0.25">
      <c r="B943" s="55"/>
      <c r="C943" s="55"/>
      <c r="F943" s="66"/>
      <c r="G943" s="236"/>
      <c r="I943" s="145"/>
      <c r="J943" s="148"/>
      <c r="K943" s="149"/>
    </row>
    <row r="944" spans="2:11" s="17" customFormat="1" x14ac:dyDescent="0.25">
      <c r="B944" s="55"/>
      <c r="C944" s="55"/>
      <c r="F944" s="66"/>
      <c r="G944" s="236"/>
      <c r="I944" s="145"/>
      <c r="J944" s="148"/>
      <c r="K944" s="149"/>
    </row>
    <row r="945" spans="2:11" s="17" customFormat="1" x14ac:dyDescent="0.25">
      <c r="B945" s="55"/>
      <c r="C945" s="55"/>
      <c r="F945" s="66"/>
      <c r="G945" s="236"/>
      <c r="I945" s="145"/>
      <c r="J945" s="148"/>
      <c r="K945" s="149"/>
    </row>
    <row r="946" spans="2:11" s="17" customFormat="1" x14ac:dyDescent="0.25">
      <c r="B946" s="55"/>
      <c r="C946" s="55"/>
      <c r="F946" s="66"/>
      <c r="G946" s="236"/>
      <c r="I946" s="145"/>
      <c r="J946" s="148"/>
      <c r="K946" s="149"/>
    </row>
    <row r="947" spans="2:11" s="17" customFormat="1" x14ac:dyDescent="0.25">
      <c r="B947" s="55"/>
      <c r="C947" s="55"/>
      <c r="F947" s="66"/>
      <c r="G947" s="236"/>
      <c r="I947" s="145"/>
      <c r="J947" s="148"/>
      <c r="K947" s="149"/>
    </row>
    <row r="948" spans="2:11" s="17" customFormat="1" x14ac:dyDescent="0.25">
      <c r="B948" s="55"/>
      <c r="C948" s="55"/>
      <c r="F948" s="66"/>
      <c r="G948" s="236"/>
      <c r="I948" s="145"/>
      <c r="J948" s="148"/>
      <c r="K948" s="149"/>
    </row>
    <row r="949" spans="2:11" s="17" customFormat="1" x14ac:dyDescent="0.25">
      <c r="B949" s="55"/>
      <c r="C949" s="55"/>
      <c r="F949" s="66"/>
      <c r="G949" s="236"/>
      <c r="I949" s="145"/>
      <c r="J949" s="148"/>
      <c r="K949" s="149"/>
    </row>
    <row r="950" spans="2:11" s="17" customFormat="1" x14ac:dyDescent="0.25">
      <c r="B950" s="55"/>
      <c r="C950" s="55"/>
      <c r="F950" s="66"/>
      <c r="G950" s="236"/>
      <c r="I950" s="145"/>
      <c r="J950" s="148"/>
      <c r="K950" s="149"/>
    </row>
    <row r="951" spans="2:11" s="17" customFormat="1" x14ac:dyDescent="0.25">
      <c r="B951" s="55"/>
      <c r="C951" s="55"/>
      <c r="F951" s="66"/>
      <c r="G951" s="236"/>
      <c r="I951" s="145"/>
      <c r="J951" s="148"/>
      <c r="K951" s="149"/>
    </row>
    <row r="952" spans="2:11" s="17" customFormat="1" x14ac:dyDescent="0.25">
      <c r="B952" s="55"/>
      <c r="C952" s="55"/>
      <c r="F952" s="66"/>
      <c r="G952" s="236"/>
      <c r="I952" s="145"/>
      <c r="J952" s="148"/>
      <c r="K952" s="149"/>
    </row>
    <row r="953" spans="2:11" s="17" customFormat="1" x14ac:dyDescent="0.25">
      <c r="B953" s="55"/>
      <c r="C953" s="55"/>
      <c r="F953" s="66"/>
      <c r="G953" s="236"/>
      <c r="I953" s="145"/>
      <c r="J953" s="148"/>
      <c r="K953" s="149"/>
    </row>
    <row r="954" spans="2:11" s="17" customFormat="1" x14ac:dyDescent="0.25">
      <c r="B954" s="55"/>
      <c r="C954" s="55"/>
      <c r="F954" s="66"/>
      <c r="G954" s="236"/>
      <c r="I954" s="145"/>
      <c r="J954" s="148"/>
      <c r="K954" s="149"/>
    </row>
    <row r="955" spans="2:11" s="17" customFormat="1" x14ac:dyDescent="0.25">
      <c r="B955" s="55"/>
      <c r="C955" s="55"/>
      <c r="F955" s="66"/>
      <c r="G955" s="236"/>
      <c r="I955" s="145"/>
      <c r="J955" s="148"/>
      <c r="K955" s="149"/>
    </row>
    <row r="956" spans="2:11" s="17" customFormat="1" x14ac:dyDescent="0.25">
      <c r="B956" s="55"/>
      <c r="C956" s="55"/>
      <c r="F956" s="66"/>
      <c r="G956" s="236"/>
      <c r="I956" s="145"/>
      <c r="J956" s="148"/>
      <c r="K956" s="149"/>
    </row>
    <row r="957" spans="2:11" s="17" customFormat="1" x14ac:dyDescent="0.25">
      <c r="B957" s="55"/>
      <c r="C957" s="55"/>
      <c r="F957" s="66"/>
      <c r="G957" s="236"/>
      <c r="I957" s="145"/>
      <c r="J957" s="148"/>
      <c r="K957" s="149"/>
    </row>
    <row r="958" spans="2:11" s="17" customFormat="1" x14ac:dyDescent="0.25">
      <c r="B958" s="55"/>
      <c r="C958" s="55"/>
      <c r="F958" s="66"/>
      <c r="G958" s="236"/>
      <c r="I958" s="145"/>
      <c r="J958" s="148"/>
      <c r="K958" s="149"/>
    </row>
    <row r="959" spans="2:11" s="17" customFormat="1" x14ac:dyDescent="0.25">
      <c r="B959" s="55"/>
      <c r="C959" s="55"/>
      <c r="F959" s="66"/>
      <c r="G959" s="236"/>
      <c r="I959" s="145"/>
      <c r="J959" s="148"/>
      <c r="K959" s="149"/>
    </row>
    <row r="960" spans="2:11" s="17" customFormat="1" x14ac:dyDescent="0.25">
      <c r="B960" s="55"/>
      <c r="C960" s="55"/>
      <c r="F960" s="66"/>
      <c r="G960" s="236"/>
      <c r="I960" s="145"/>
      <c r="J960" s="148"/>
      <c r="K960" s="149"/>
    </row>
    <row r="961" spans="2:11" s="17" customFormat="1" x14ac:dyDescent="0.25">
      <c r="B961" s="55"/>
      <c r="C961" s="55"/>
      <c r="F961" s="66"/>
      <c r="G961" s="236"/>
      <c r="I961" s="145"/>
      <c r="J961" s="148"/>
      <c r="K961" s="149"/>
    </row>
    <row r="962" spans="2:11" s="17" customFormat="1" x14ac:dyDescent="0.25">
      <c r="B962" s="55"/>
      <c r="C962" s="55"/>
      <c r="F962" s="66"/>
      <c r="G962" s="236"/>
      <c r="I962" s="145"/>
      <c r="J962" s="148"/>
      <c r="K962" s="149"/>
    </row>
    <row r="963" spans="2:11" s="17" customFormat="1" x14ac:dyDescent="0.25">
      <c r="B963" s="55"/>
      <c r="C963" s="55"/>
      <c r="F963" s="66"/>
      <c r="G963" s="236"/>
      <c r="I963" s="145"/>
      <c r="J963" s="148"/>
      <c r="K963" s="149"/>
    </row>
    <row r="964" spans="2:11" s="17" customFormat="1" x14ac:dyDescent="0.25">
      <c r="B964" s="55"/>
      <c r="C964" s="55"/>
      <c r="F964" s="66"/>
      <c r="G964" s="236"/>
      <c r="I964" s="145"/>
      <c r="J964" s="148"/>
      <c r="K964" s="149"/>
    </row>
    <row r="965" spans="2:11" s="17" customFormat="1" x14ac:dyDescent="0.25">
      <c r="B965" s="55"/>
      <c r="C965" s="55"/>
      <c r="F965" s="66"/>
      <c r="G965" s="236"/>
      <c r="I965" s="145"/>
      <c r="J965" s="148"/>
      <c r="K965" s="149"/>
    </row>
    <row r="966" spans="2:11" s="17" customFormat="1" x14ac:dyDescent="0.25">
      <c r="B966" s="55"/>
      <c r="C966" s="55"/>
      <c r="F966" s="66"/>
      <c r="G966" s="236"/>
      <c r="I966" s="145"/>
      <c r="J966" s="148"/>
      <c r="K966" s="149"/>
    </row>
    <row r="967" spans="2:11" s="17" customFormat="1" x14ac:dyDescent="0.25">
      <c r="B967" s="55"/>
      <c r="C967" s="55"/>
      <c r="F967" s="66"/>
      <c r="G967" s="236"/>
      <c r="I967" s="145"/>
      <c r="J967" s="148"/>
      <c r="K967" s="149"/>
    </row>
    <row r="968" spans="2:11" s="17" customFormat="1" x14ac:dyDescent="0.25">
      <c r="B968" s="55"/>
      <c r="C968" s="55"/>
      <c r="F968" s="66"/>
      <c r="G968" s="236"/>
      <c r="I968" s="145"/>
      <c r="J968" s="148"/>
      <c r="K968" s="149"/>
    </row>
    <row r="969" spans="2:11" s="17" customFormat="1" x14ac:dyDescent="0.25">
      <c r="B969" s="55"/>
      <c r="C969" s="55"/>
      <c r="F969" s="66"/>
      <c r="G969" s="236"/>
      <c r="I969" s="145"/>
      <c r="J969" s="148"/>
      <c r="K969" s="149"/>
    </row>
    <row r="970" spans="2:11" s="17" customFormat="1" x14ac:dyDescent="0.25">
      <c r="B970" s="55"/>
      <c r="C970" s="55"/>
      <c r="F970" s="66"/>
      <c r="G970" s="236"/>
      <c r="I970" s="145"/>
      <c r="J970" s="148"/>
      <c r="K970" s="149"/>
    </row>
    <row r="971" spans="2:11" s="17" customFormat="1" x14ac:dyDescent="0.25">
      <c r="B971" s="55"/>
      <c r="C971" s="55"/>
      <c r="F971" s="66"/>
      <c r="G971" s="236"/>
      <c r="I971" s="145"/>
      <c r="J971" s="148"/>
      <c r="K971" s="149"/>
    </row>
    <row r="972" spans="2:11" s="17" customFormat="1" x14ac:dyDescent="0.25">
      <c r="B972" s="55"/>
      <c r="C972" s="55"/>
      <c r="F972" s="66"/>
      <c r="G972" s="236"/>
      <c r="I972" s="145"/>
      <c r="J972" s="148"/>
      <c r="K972" s="149"/>
    </row>
    <row r="973" spans="2:11" s="17" customFormat="1" x14ac:dyDescent="0.25">
      <c r="B973" s="55"/>
      <c r="C973" s="55"/>
      <c r="F973" s="66"/>
      <c r="G973" s="236"/>
      <c r="I973" s="145"/>
      <c r="J973" s="148"/>
      <c r="K973" s="149"/>
    </row>
    <row r="974" spans="2:11" s="17" customFormat="1" x14ac:dyDescent="0.25">
      <c r="B974" s="55"/>
      <c r="C974" s="55"/>
      <c r="F974" s="66"/>
      <c r="G974" s="236"/>
      <c r="I974" s="145"/>
      <c r="J974" s="148"/>
      <c r="K974" s="149"/>
    </row>
    <row r="975" spans="2:11" s="17" customFormat="1" x14ac:dyDescent="0.25">
      <c r="B975" s="55"/>
      <c r="C975" s="55"/>
      <c r="F975" s="66"/>
      <c r="G975" s="236"/>
      <c r="I975" s="145"/>
      <c r="J975" s="148"/>
      <c r="K975" s="149"/>
    </row>
    <row r="976" spans="2:11" s="17" customFormat="1" x14ac:dyDescent="0.25">
      <c r="B976" s="55"/>
      <c r="C976" s="55"/>
      <c r="F976" s="66"/>
      <c r="G976" s="236"/>
      <c r="I976" s="145"/>
      <c r="J976" s="148"/>
      <c r="K976" s="149"/>
    </row>
    <row r="977" spans="2:11" s="17" customFormat="1" x14ac:dyDescent="0.25">
      <c r="B977" s="55"/>
      <c r="C977" s="55"/>
      <c r="F977" s="66"/>
      <c r="G977" s="236"/>
      <c r="I977" s="145"/>
      <c r="J977" s="148"/>
      <c r="K977" s="149"/>
    </row>
    <row r="978" spans="2:11" s="17" customFormat="1" x14ac:dyDescent="0.25">
      <c r="B978" s="55"/>
      <c r="C978" s="55"/>
      <c r="F978" s="66"/>
      <c r="G978" s="236"/>
      <c r="I978" s="145"/>
      <c r="J978" s="148"/>
      <c r="K978" s="149"/>
    </row>
    <row r="979" spans="2:11" s="17" customFormat="1" x14ac:dyDescent="0.25">
      <c r="B979" s="55"/>
      <c r="C979" s="55"/>
      <c r="F979" s="66"/>
      <c r="G979" s="236"/>
      <c r="I979" s="145"/>
      <c r="J979" s="148"/>
      <c r="K979" s="149"/>
    </row>
    <row r="980" spans="2:11" s="17" customFormat="1" x14ac:dyDescent="0.25">
      <c r="B980" s="55"/>
      <c r="C980" s="55"/>
      <c r="F980" s="66"/>
      <c r="G980" s="236"/>
      <c r="I980" s="145"/>
      <c r="J980" s="148"/>
      <c r="K980" s="149"/>
    </row>
    <row r="981" spans="2:11" s="17" customFormat="1" x14ac:dyDescent="0.25">
      <c r="B981" s="55"/>
      <c r="C981" s="55"/>
      <c r="F981" s="66"/>
      <c r="G981" s="236"/>
      <c r="I981" s="145"/>
      <c r="J981" s="148"/>
      <c r="K981" s="149"/>
    </row>
    <row r="982" spans="2:11" s="17" customFormat="1" x14ac:dyDescent="0.25">
      <c r="B982" s="55"/>
      <c r="C982" s="55"/>
      <c r="F982" s="66"/>
      <c r="G982" s="236"/>
      <c r="I982" s="145"/>
      <c r="J982" s="148"/>
      <c r="K982" s="149"/>
    </row>
    <row r="983" spans="2:11" s="17" customFormat="1" x14ac:dyDescent="0.25">
      <c r="B983" s="55"/>
      <c r="C983" s="55"/>
      <c r="F983" s="66"/>
      <c r="G983" s="236"/>
      <c r="I983" s="145"/>
      <c r="J983" s="148"/>
      <c r="K983" s="149"/>
    </row>
    <row r="984" spans="2:11" s="17" customFormat="1" x14ac:dyDescent="0.25">
      <c r="B984" s="55"/>
      <c r="C984" s="55"/>
      <c r="F984" s="66"/>
      <c r="G984" s="236"/>
      <c r="I984" s="145"/>
      <c r="J984" s="148"/>
      <c r="K984" s="149"/>
    </row>
    <row r="985" spans="2:11" s="17" customFormat="1" x14ac:dyDescent="0.25">
      <c r="B985" s="55"/>
      <c r="C985" s="55"/>
      <c r="F985" s="66"/>
      <c r="G985" s="236"/>
      <c r="I985" s="145"/>
      <c r="J985" s="148"/>
      <c r="K985" s="149"/>
    </row>
    <row r="986" spans="2:11" s="17" customFormat="1" x14ac:dyDescent="0.25">
      <c r="B986" s="55"/>
      <c r="C986" s="55"/>
      <c r="F986" s="66"/>
      <c r="G986" s="236"/>
      <c r="I986" s="145"/>
      <c r="J986" s="148"/>
      <c r="K986" s="149"/>
    </row>
    <row r="987" spans="2:11" s="17" customFormat="1" x14ac:dyDescent="0.25">
      <c r="B987" s="55"/>
      <c r="C987" s="55"/>
      <c r="F987" s="66"/>
      <c r="G987" s="236"/>
      <c r="I987" s="145"/>
      <c r="J987" s="148"/>
      <c r="K987" s="149"/>
    </row>
    <row r="988" spans="2:11" s="17" customFormat="1" x14ac:dyDescent="0.25">
      <c r="B988" s="55"/>
      <c r="C988" s="55"/>
      <c r="F988" s="66"/>
      <c r="G988" s="236"/>
      <c r="I988" s="145"/>
      <c r="J988" s="148"/>
      <c r="K988" s="149"/>
    </row>
    <row r="989" spans="2:11" s="17" customFormat="1" x14ac:dyDescent="0.25">
      <c r="B989" s="55"/>
      <c r="C989" s="55"/>
      <c r="F989" s="66"/>
      <c r="G989" s="236"/>
      <c r="I989" s="145"/>
      <c r="J989" s="148"/>
      <c r="K989" s="149"/>
    </row>
    <row r="990" spans="2:11" s="17" customFormat="1" x14ac:dyDescent="0.25">
      <c r="B990" s="55"/>
      <c r="C990" s="55"/>
      <c r="F990" s="66"/>
      <c r="G990" s="236"/>
      <c r="I990" s="145"/>
      <c r="J990" s="148"/>
      <c r="K990" s="149"/>
    </row>
    <row r="991" spans="2:11" s="17" customFormat="1" x14ac:dyDescent="0.25">
      <c r="B991" s="55"/>
      <c r="C991" s="55"/>
      <c r="F991" s="66"/>
      <c r="G991" s="236"/>
      <c r="I991" s="145"/>
      <c r="J991" s="148"/>
      <c r="K991" s="149"/>
    </row>
    <row r="992" spans="2:11" s="17" customFormat="1" x14ac:dyDescent="0.25">
      <c r="B992" s="55"/>
      <c r="C992" s="55"/>
      <c r="F992" s="66"/>
      <c r="G992" s="236"/>
      <c r="I992" s="145"/>
      <c r="J992" s="148"/>
      <c r="K992" s="149"/>
    </row>
    <row r="993" spans="2:11" s="17" customFormat="1" x14ac:dyDescent="0.25">
      <c r="B993" s="55"/>
      <c r="C993" s="55"/>
      <c r="F993" s="66"/>
      <c r="G993" s="236"/>
      <c r="I993" s="145"/>
      <c r="J993" s="148"/>
      <c r="K993" s="149"/>
    </row>
    <row r="994" spans="2:11" s="17" customFormat="1" x14ac:dyDescent="0.25">
      <c r="B994" s="55"/>
      <c r="C994" s="55"/>
      <c r="F994" s="66"/>
      <c r="G994" s="236"/>
      <c r="I994" s="145"/>
      <c r="J994" s="148"/>
      <c r="K994" s="149"/>
    </row>
    <row r="995" spans="2:11" s="17" customFormat="1" x14ac:dyDescent="0.25">
      <c r="B995" s="55"/>
      <c r="C995" s="55"/>
      <c r="F995" s="66"/>
      <c r="G995" s="236"/>
      <c r="I995" s="145"/>
      <c r="J995" s="148"/>
      <c r="K995" s="149"/>
    </row>
    <row r="996" spans="2:11" s="17" customFormat="1" x14ac:dyDescent="0.25">
      <c r="B996" s="55"/>
      <c r="C996" s="55"/>
      <c r="F996" s="66"/>
      <c r="G996" s="236"/>
      <c r="I996" s="145"/>
      <c r="J996" s="148"/>
      <c r="K996" s="149"/>
    </row>
    <row r="997" spans="2:11" s="17" customFormat="1" x14ac:dyDescent="0.25">
      <c r="B997" s="55"/>
      <c r="C997" s="55"/>
      <c r="F997" s="66"/>
      <c r="G997" s="236"/>
      <c r="I997" s="145"/>
      <c r="J997" s="148"/>
      <c r="K997" s="149"/>
    </row>
    <row r="998" spans="2:11" s="17" customFormat="1" x14ac:dyDescent="0.25">
      <c r="B998" s="55"/>
      <c r="C998" s="55"/>
      <c r="F998" s="66"/>
      <c r="G998" s="236"/>
      <c r="I998" s="145"/>
      <c r="J998" s="148"/>
      <c r="K998" s="149"/>
    </row>
    <row r="999" spans="2:11" s="17" customFormat="1" x14ac:dyDescent="0.25">
      <c r="B999" s="55"/>
      <c r="C999" s="55"/>
      <c r="F999" s="66"/>
      <c r="G999" s="236"/>
      <c r="I999" s="145"/>
      <c r="J999" s="148"/>
      <c r="K999" s="149"/>
    </row>
    <row r="1000" spans="2:11" s="17" customFormat="1" x14ac:dyDescent="0.25">
      <c r="B1000" s="55"/>
      <c r="C1000" s="55"/>
      <c r="F1000" s="66"/>
      <c r="G1000" s="236"/>
      <c r="I1000" s="145"/>
      <c r="J1000" s="148"/>
      <c r="K1000" s="149"/>
    </row>
    <row r="1001" spans="2:11" s="17" customFormat="1" x14ac:dyDescent="0.25">
      <c r="B1001" s="55"/>
      <c r="C1001" s="55"/>
      <c r="F1001" s="66"/>
      <c r="G1001" s="236"/>
      <c r="I1001" s="145"/>
      <c r="J1001" s="148"/>
      <c r="K1001" s="149"/>
    </row>
    <row r="1002" spans="2:11" s="17" customFormat="1" x14ac:dyDescent="0.25">
      <c r="B1002" s="55"/>
      <c r="C1002" s="55"/>
      <c r="F1002" s="66"/>
      <c r="G1002" s="236"/>
      <c r="I1002" s="145"/>
      <c r="J1002" s="148"/>
      <c r="K1002" s="149"/>
    </row>
    <row r="1003" spans="2:11" s="17" customFormat="1" x14ac:dyDescent="0.25">
      <c r="B1003" s="55"/>
      <c r="C1003" s="55"/>
      <c r="F1003" s="66"/>
      <c r="G1003" s="236"/>
      <c r="I1003" s="145"/>
      <c r="J1003" s="148"/>
      <c r="K1003" s="149"/>
    </row>
    <row r="1004" spans="2:11" s="17" customFormat="1" x14ac:dyDescent="0.25">
      <c r="B1004" s="55"/>
      <c r="C1004" s="55"/>
      <c r="F1004" s="66"/>
      <c r="G1004" s="236"/>
      <c r="I1004" s="145"/>
      <c r="J1004" s="148"/>
      <c r="K1004" s="149"/>
    </row>
    <row r="1005" spans="2:11" s="17" customFormat="1" x14ac:dyDescent="0.25">
      <c r="B1005" s="55"/>
      <c r="C1005" s="55"/>
      <c r="F1005" s="66"/>
      <c r="G1005" s="236"/>
      <c r="I1005" s="145"/>
      <c r="J1005" s="148"/>
      <c r="K1005" s="149"/>
    </row>
    <row r="1006" spans="2:11" s="17" customFormat="1" x14ac:dyDescent="0.25">
      <c r="B1006" s="55"/>
      <c r="C1006" s="55"/>
      <c r="F1006" s="66"/>
      <c r="G1006" s="236"/>
      <c r="I1006" s="145"/>
      <c r="J1006" s="148"/>
      <c r="K1006" s="149"/>
    </row>
    <row r="1007" spans="2:11" s="17" customFormat="1" x14ac:dyDescent="0.25">
      <c r="B1007" s="55"/>
      <c r="C1007" s="55"/>
      <c r="F1007" s="66"/>
      <c r="G1007" s="236"/>
      <c r="I1007" s="145"/>
      <c r="J1007" s="148"/>
      <c r="K1007" s="149"/>
    </row>
    <row r="1008" spans="2:11" s="17" customFormat="1" x14ac:dyDescent="0.25">
      <c r="B1008" s="55"/>
      <c r="C1008" s="55"/>
      <c r="F1008" s="66"/>
      <c r="G1008" s="236"/>
      <c r="I1008" s="145"/>
      <c r="J1008" s="148"/>
      <c r="K1008" s="149"/>
    </row>
    <row r="1009" spans="2:11" s="17" customFormat="1" x14ac:dyDescent="0.25">
      <c r="B1009" s="55"/>
      <c r="C1009" s="55"/>
      <c r="F1009" s="66"/>
      <c r="G1009" s="236"/>
      <c r="I1009" s="145"/>
      <c r="J1009" s="148"/>
      <c r="K1009" s="149"/>
    </row>
    <row r="1010" spans="2:11" s="17" customFormat="1" x14ac:dyDescent="0.25">
      <c r="B1010" s="55"/>
      <c r="C1010" s="55"/>
      <c r="F1010" s="66"/>
      <c r="G1010" s="236"/>
      <c r="I1010" s="145"/>
      <c r="J1010" s="148"/>
      <c r="K1010" s="149"/>
    </row>
    <row r="1011" spans="2:11" s="17" customFormat="1" x14ac:dyDescent="0.25">
      <c r="B1011" s="55"/>
      <c r="C1011" s="55"/>
      <c r="F1011" s="66"/>
      <c r="G1011" s="236"/>
      <c r="I1011" s="145"/>
      <c r="J1011" s="148"/>
      <c r="K1011" s="149"/>
    </row>
    <row r="1012" spans="2:11" s="17" customFormat="1" x14ac:dyDescent="0.25">
      <c r="B1012" s="55"/>
      <c r="C1012" s="55"/>
      <c r="F1012" s="66"/>
      <c r="G1012" s="236"/>
      <c r="I1012" s="145"/>
      <c r="J1012" s="148"/>
      <c r="K1012" s="149"/>
    </row>
    <row r="1013" spans="2:11" s="17" customFormat="1" x14ac:dyDescent="0.25">
      <c r="B1013" s="55"/>
      <c r="C1013" s="55"/>
      <c r="F1013" s="66"/>
      <c r="G1013" s="236"/>
      <c r="I1013" s="145"/>
      <c r="J1013" s="148"/>
      <c r="K1013" s="149"/>
    </row>
    <row r="1014" spans="2:11" s="17" customFormat="1" x14ac:dyDescent="0.25">
      <c r="B1014" s="55"/>
      <c r="C1014" s="55"/>
      <c r="F1014" s="66"/>
      <c r="G1014" s="236"/>
      <c r="I1014" s="145"/>
      <c r="J1014" s="148"/>
      <c r="K1014" s="149"/>
    </row>
    <row r="1015" spans="2:11" s="17" customFormat="1" x14ac:dyDescent="0.25">
      <c r="B1015" s="55"/>
      <c r="C1015" s="55"/>
      <c r="F1015" s="66"/>
      <c r="G1015" s="236"/>
      <c r="I1015" s="145"/>
      <c r="J1015" s="148"/>
      <c r="K1015" s="149"/>
    </row>
    <row r="1016" spans="2:11" s="17" customFormat="1" x14ac:dyDescent="0.25">
      <c r="B1016" s="55"/>
      <c r="C1016" s="55"/>
      <c r="F1016" s="66"/>
      <c r="G1016" s="236"/>
      <c r="I1016" s="145"/>
      <c r="J1016" s="148"/>
      <c r="K1016" s="149"/>
    </row>
    <row r="1017" spans="2:11" s="17" customFormat="1" x14ac:dyDescent="0.25">
      <c r="B1017" s="55"/>
      <c r="C1017" s="55"/>
      <c r="F1017" s="66"/>
      <c r="G1017" s="236"/>
      <c r="I1017" s="145"/>
      <c r="J1017" s="148"/>
      <c r="K1017" s="149"/>
    </row>
    <row r="1018" spans="2:11" s="17" customFormat="1" x14ac:dyDescent="0.25">
      <c r="B1018" s="55"/>
      <c r="C1018" s="55"/>
      <c r="F1018" s="66"/>
      <c r="G1018" s="236"/>
      <c r="I1018" s="145"/>
      <c r="J1018" s="148"/>
      <c r="K1018" s="149"/>
    </row>
    <row r="1019" spans="2:11" s="17" customFormat="1" x14ac:dyDescent="0.25">
      <c r="B1019" s="55"/>
      <c r="C1019" s="55"/>
      <c r="F1019" s="66"/>
      <c r="G1019" s="236"/>
      <c r="I1019" s="145"/>
      <c r="J1019" s="148"/>
      <c r="K1019" s="149"/>
    </row>
    <row r="1020" spans="2:11" s="17" customFormat="1" x14ac:dyDescent="0.25">
      <c r="B1020" s="55"/>
      <c r="C1020" s="55"/>
      <c r="F1020" s="66"/>
      <c r="G1020" s="236"/>
      <c r="I1020" s="145"/>
      <c r="J1020" s="148"/>
      <c r="K1020" s="149"/>
    </row>
    <row r="1021" spans="2:11" s="17" customFormat="1" x14ac:dyDescent="0.25">
      <c r="B1021" s="55"/>
      <c r="C1021" s="55"/>
      <c r="F1021" s="66"/>
      <c r="G1021" s="236"/>
      <c r="I1021" s="145"/>
      <c r="J1021" s="148"/>
      <c r="K1021" s="149"/>
    </row>
    <row r="1022" spans="2:11" s="17" customFormat="1" x14ac:dyDescent="0.25">
      <c r="B1022" s="55"/>
      <c r="C1022" s="55"/>
      <c r="F1022" s="66"/>
      <c r="G1022" s="236"/>
      <c r="I1022" s="145"/>
      <c r="J1022" s="148"/>
      <c r="K1022" s="149"/>
    </row>
    <row r="1023" spans="2:11" s="17" customFormat="1" x14ac:dyDescent="0.25">
      <c r="B1023" s="55"/>
      <c r="C1023" s="55"/>
      <c r="F1023" s="66"/>
      <c r="G1023" s="236"/>
      <c r="I1023" s="145"/>
      <c r="J1023" s="148"/>
      <c r="K1023" s="149"/>
    </row>
    <row r="1024" spans="2:11" s="17" customFormat="1" x14ac:dyDescent="0.25">
      <c r="B1024" s="55"/>
      <c r="C1024" s="55"/>
      <c r="F1024" s="66"/>
      <c r="G1024" s="236"/>
      <c r="I1024" s="145"/>
      <c r="J1024" s="148"/>
      <c r="K1024" s="149"/>
    </row>
    <row r="1025" spans="2:11" s="17" customFormat="1" x14ac:dyDescent="0.25">
      <c r="B1025" s="55"/>
      <c r="C1025" s="55"/>
      <c r="F1025" s="66"/>
      <c r="G1025" s="236"/>
      <c r="I1025" s="145"/>
      <c r="J1025" s="148"/>
      <c r="K1025" s="149"/>
    </row>
    <row r="1026" spans="2:11" s="17" customFormat="1" x14ac:dyDescent="0.25">
      <c r="B1026" s="55"/>
      <c r="C1026" s="55"/>
      <c r="F1026" s="66"/>
      <c r="G1026" s="236"/>
      <c r="I1026" s="145"/>
      <c r="J1026" s="148"/>
      <c r="K1026" s="149"/>
    </row>
    <row r="1027" spans="2:11" s="17" customFormat="1" x14ac:dyDescent="0.25">
      <c r="B1027" s="55"/>
      <c r="C1027" s="55"/>
      <c r="F1027" s="66"/>
      <c r="G1027" s="236"/>
      <c r="I1027" s="145"/>
      <c r="J1027" s="148"/>
      <c r="K1027" s="149"/>
    </row>
    <row r="1028" spans="2:11" s="17" customFormat="1" x14ac:dyDescent="0.25">
      <c r="B1028" s="55"/>
      <c r="C1028" s="55"/>
      <c r="F1028" s="66"/>
      <c r="G1028" s="236"/>
      <c r="I1028" s="145"/>
      <c r="J1028" s="148"/>
      <c r="K1028" s="149"/>
    </row>
    <row r="1029" spans="2:11" s="17" customFormat="1" x14ac:dyDescent="0.25">
      <c r="B1029" s="55"/>
      <c r="C1029" s="55"/>
      <c r="F1029" s="66"/>
      <c r="G1029" s="236"/>
      <c r="I1029" s="145"/>
      <c r="J1029" s="148"/>
      <c r="K1029" s="149"/>
    </row>
    <row r="1030" spans="2:11" s="17" customFormat="1" x14ac:dyDescent="0.25">
      <c r="B1030" s="55"/>
      <c r="C1030" s="55"/>
      <c r="F1030" s="66"/>
      <c r="G1030" s="236"/>
      <c r="I1030" s="145"/>
      <c r="J1030" s="148"/>
      <c r="K1030" s="149"/>
    </row>
    <row r="1031" spans="2:11" s="17" customFormat="1" x14ac:dyDescent="0.25">
      <c r="B1031" s="55"/>
      <c r="C1031" s="55"/>
      <c r="F1031" s="66"/>
      <c r="G1031" s="236"/>
      <c r="I1031" s="145"/>
      <c r="J1031" s="148"/>
      <c r="K1031" s="149"/>
    </row>
    <row r="1032" spans="2:11" s="17" customFormat="1" x14ac:dyDescent="0.25">
      <c r="B1032" s="55"/>
      <c r="C1032" s="55"/>
      <c r="F1032" s="66"/>
      <c r="G1032" s="236"/>
      <c r="I1032" s="145"/>
      <c r="J1032" s="148"/>
      <c r="K1032" s="149"/>
    </row>
    <row r="1033" spans="2:11" s="17" customFormat="1" x14ac:dyDescent="0.25">
      <c r="B1033" s="55"/>
      <c r="C1033" s="55"/>
      <c r="F1033" s="66"/>
      <c r="G1033" s="236"/>
      <c r="I1033" s="145"/>
      <c r="J1033" s="148"/>
      <c r="K1033" s="149"/>
    </row>
    <row r="1034" spans="2:11" s="17" customFormat="1" x14ac:dyDescent="0.25">
      <c r="B1034" s="55"/>
      <c r="C1034" s="55"/>
      <c r="F1034" s="66"/>
      <c r="G1034" s="236"/>
      <c r="I1034" s="145"/>
      <c r="J1034" s="148"/>
      <c r="K1034" s="149"/>
    </row>
    <row r="1035" spans="2:11" s="17" customFormat="1" x14ac:dyDescent="0.25">
      <c r="B1035" s="55"/>
      <c r="C1035" s="55"/>
      <c r="F1035" s="66"/>
      <c r="G1035" s="236"/>
      <c r="I1035" s="145"/>
      <c r="J1035" s="148"/>
      <c r="K1035" s="149"/>
    </row>
    <row r="1036" spans="2:11" s="17" customFormat="1" x14ac:dyDescent="0.25">
      <c r="B1036" s="55"/>
      <c r="C1036" s="55"/>
      <c r="F1036" s="66"/>
      <c r="G1036" s="236"/>
      <c r="I1036" s="145"/>
      <c r="J1036" s="148"/>
      <c r="K1036" s="149"/>
    </row>
    <row r="1037" spans="2:11" s="17" customFormat="1" x14ac:dyDescent="0.25">
      <c r="B1037" s="55"/>
      <c r="C1037" s="55"/>
      <c r="F1037" s="66"/>
      <c r="G1037" s="236"/>
      <c r="I1037" s="145"/>
      <c r="J1037" s="148"/>
      <c r="K1037" s="149"/>
    </row>
    <row r="1038" spans="2:11" s="17" customFormat="1" x14ac:dyDescent="0.25">
      <c r="B1038" s="55"/>
      <c r="C1038" s="55"/>
      <c r="F1038" s="66"/>
      <c r="G1038" s="236"/>
      <c r="I1038" s="145"/>
      <c r="J1038" s="148"/>
      <c r="K1038" s="149"/>
    </row>
    <row r="1039" spans="2:11" s="17" customFormat="1" x14ac:dyDescent="0.25">
      <c r="B1039" s="55"/>
      <c r="C1039" s="55"/>
      <c r="F1039" s="66"/>
      <c r="G1039" s="236"/>
      <c r="I1039" s="145"/>
      <c r="J1039" s="148"/>
      <c r="K1039" s="149"/>
    </row>
    <row r="1040" spans="2:11" s="17" customFormat="1" x14ac:dyDescent="0.25">
      <c r="B1040" s="55"/>
      <c r="C1040" s="55"/>
      <c r="F1040" s="66"/>
      <c r="G1040" s="236"/>
      <c r="I1040" s="145"/>
      <c r="J1040" s="148"/>
      <c r="K1040" s="149"/>
    </row>
    <row r="1041" spans="2:11" s="17" customFormat="1" x14ac:dyDescent="0.25">
      <c r="B1041" s="55"/>
      <c r="C1041" s="55"/>
      <c r="F1041" s="66"/>
      <c r="G1041" s="236"/>
      <c r="I1041" s="145"/>
      <c r="J1041" s="148"/>
      <c r="K1041" s="149"/>
    </row>
    <row r="1042" spans="2:11" s="17" customFormat="1" x14ac:dyDescent="0.25">
      <c r="B1042" s="55"/>
      <c r="C1042" s="55"/>
      <c r="F1042" s="66"/>
      <c r="G1042" s="236"/>
      <c r="I1042" s="145"/>
      <c r="J1042" s="148"/>
      <c r="K1042" s="149"/>
    </row>
    <row r="1043" spans="2:11" s="17" customFormat="1" x14ac:dyDescent="0.25">
      <c r="B1043" s="55"/>
      <c r="C1043" s="55"/>
      <c r="F1043" s="66"/>
      <c r="G1043" s="236"/>
      <c r="I1043" s="145"/>
      <c r="J1043" s="148"/>
      <c r="K1043" s="149"/>
    </row>
    <row r="1044" spans="2:11" s="17" customFormat="1" x14ac:dyDescent="0.25">
      <c r="B1044" s="55"/>
      <c r="C1044" s="55"/>
      <c r="F1044" s="66"/>
      <c r="G1044" s="236"/>
      <c r="I1044" s="145"/>
      <c r="J1044" s="148"/>
      <c r="K1044" s="149"/>
    </row>
    <row r="1045" spans="2:11" s="17" customFormat="1" x14ac:dyDescent="0.25">
      <c r="B1045" s="55"/>
      <c r="C1045" s="55"/>
      <c r="F1045" s="66"/>
      <c r="G1045" s="236"/>
      <c r="I1045" s="145"/>
      <c r="J1045" s="148"/>
      <c r="K1045" s="149"/>
    </row>
    <row r="1046" spans="2:11" s="17" customFormat="1" x14ac:dyDescent="0.25">
      <c r="B1046" s="55"/>
      <c r="C1046" s="55"/>
      <c r="F1046" s="66"/>
      <c r="G1046" s="236"/>
      <c r="I1046" s="145"/>
      <c r="J1046" s="148"/>
      <c r="K1046" s="149"/>
    </row>
    <row r="1047" spans="2:11" s="17" customFormat="1" x14ac:dyDescent="0.25">
      <c r="B1047" s="55"/>
      <c r="C1047" s="55"/>
      <c r="F1047" s="66"/>
      <c r="G1047" s="236"/>
      <c r="I1047" s="145"/>
      <c r="J1047" s="148"/>
      <c r="K1047" s="149"/>
    </row>
    <row r="1048" spans="2:11" s="17" customFormat="1" x14ac:dyDescent="0.25">
      <c r="B1048" s="55"/>
      <c r="C1048" s="55"/>
      <c r="F1048" s="66"/>
      <c r="G1048" s="236"/>
      <c r="I1048" s="145"/>
      <c r="J1048" s="148"/>
      <c r="K1048" s="149"/>
    </row>
    <row r="1049" spans="2:11" s="17" customFormat="1" x14ac:dyDescent="0.25">
      <c r="B1049" s="55"/>
      <c r="C1049" s="55"/>
      <c r="F1049" s="66"/>
      <c r="G1049" s="236"/>
      <c r="I1049" s="145"/>
      <c r="J1049" s="148"/>
      <c r="K1049" s="149"/>
    </row>
    <row r="1050" spans="2:11" s="17" customFormat="1" x14ac:dyDescent="0.25">
      <c r="B1050" s="55"/>
      <c r="C1050" s="55"/>
      <c r="F1050" s="66"/>
      <c r="G1050" s="236"/>
      <c r="I1050" s="145"/>
      <c r="J1050" s="148"/>
      <c r="K1050" s="149"/>
    </row>
    <row r="1051" spans="2:11" s="17" customFormat="1" x14ac:dyDescent="0.25">
      <c r="B1051" s="55"/>
      <c r="C1051" s="55"/>
      <c r="F1051" s="66"/>
      <c r="G1051" s="236"/>
      <c r="I1051" s="145"/>
      <c r="J1051" s="148"/>
      <c r="K1051" s="149"/>
    </row>
    <row r="1052" spans="2:11" s="17" customFormat="1" x14ac:dyDescent="0.25">
      <c r="B1052" s="55"/>
      <c r="C1052" s="55"/>
      <c r="F1052" s="66"/>
      <c r="G1052" s="236"/>
      <c r="I1052" s="145"/>
      <c r="J1052" s="148"/>
      <c r="K1052" s="149"/>
    </row>
    <row r="1053" spans="2:11" s="17" customFormat="1" x14ac:dyDescent="0.25">
      <c r="B1053" s="55"/>
      <c r="C1053" s="55"/>
      <c r="F1053" s="66"/>
      <c r="G1053" s="236"/>
      <c r="I1053" s="145"/>
      <c r="J1053" s="148"/>
      <c r="K1053" s="149"/>
    </row>
    <row r="1054" spans="2:11" s="17" customFormat="1" x14ac:dyDescent="0.25">
      <c r="B1054" s="55"/>
      <c r="C1054" s="55"/>
      <c r="F1054" s="66"/>
      <c r="G1054" s="236"/>
      <c r="I1054" s="145"/>
      <c r="J1054" s="148"/>
      <c r="K1054" s="149"/>
    </row>
    <row r="1055" spans="2:11" s="17" customFormat="1" x14ac:dyDescent="0.25">
      <c r="B1055" s="55"/>
      <c r="C1055" s="55"/>
      <c r="F1055" s="66"/>
      <c r="G1055" s="236"/>
      <c r="I1055" s="145"/>
      <c r="J1055" s="148"/>
      <c r="K1055" s="149"/>
    </row>
    <row r="1056" spans="2:11" s="17" customFormat="1" x14ac:dyDescent="0.25">
      <c r="B1056" s="55"/>
      <c r="C1056" s="55"/>
      <c r="F1056" s="66"/>
      <c r="G1056" s="236"/>
      <c r="I1056" s="145"/>
      <c r="J1056" s="148"/>
      <c r="K1056" s="149"/>
    </row>
    <row r="1057" spans="2:11" s="17" customFormat="1" x14ac:dyDescent="0.25">
      <c r="B1057" s="55"/>
      <c r="C1057" s="55"/>
      <c r="F1057" s="66"/>
      <c r="G1057" s="236"/>
      <c r="I1057" s="145"/>
      <c r="J1057" s="148"/>
      <c r="K1057" s="149"/>
    </row>
    <row r="1058" spans="2:11" s="17" customFormat="1" x14ac:dyDescent="0.25">
      <c r="B1058" s="55"/>
      <c r="C1058" s="55"/>
      <c r="F1058" s="66"/>
      <c r="G1058" s="236"/>
      <c r="I1058" s="145"/>
      <c r="J1058" s="148"/>
      <c r="K1058" s="149"/>
    </row>
    <row r="1059" spans="2:11" s="17" customFormat="1" x14ac:dyDescent="0.25">
      <c r="B1059" s="55"/>
      <c r="C1059" s="55"/>
      <c r="F1059" s="66"/>
      <c r="G1059" s="236"/>
      <c r="I1059" s="145"/>
      <c r="J1059" s="148"/>
      <c r="K1059" s="149"/>
    </row>
    <row r="1060" spans="2:11" s="17" customFormat="1" x14ac:dyDescent="0.25">
      <c r="B1060" s="55"/>
      <c r="C1060" s="55"/>
      <c r="F1060" s="66"/>
      <c r="G1060" s="236"/>
      <c r="I1060" s="145"/>
      <c r="J1060" s="148"/>
      <c r="K1060" s="149"/>
    </row>
    <row r="1061" spans="2:11" s="17" customFormat="1" x14ac:dyDescent="0.25">
      <c r="B1061" s="55"/>
      <c r="C1061" s="55"/>
      <c r="F1061" s="66"/>
      <c r="G1061" s="236"/>
      <c r="I1061" s="145"/>
      <c r="J1061" s="148"/>
      <c r="K1061" s="149"/>
    </row>
    <row r="1062" spans="2:11" s="17" customFormat="1" x14ac:dyDescent="0.25">
      <c r="B1062" s="55"/>
      <c r="C1062" s="55"/>
      <c r="F1062" s="66"/>
      <c r="G1062" s="236"/>
      <c r="I1062" s="145"/>
      <c r="J1062" s="148"/>
      <c r="K1062" s="149"/>
    </row>
    <row r="1063" spans="2:11" s="17" customFormat="1" x14ac:dyDescent="0.25">
      <c r="B1063" s="55"/>
      <c r="C1063" s="55"/>
      <c r="F1063" s="66"/>
      <c r="G1063" s="236"/>
      <c r="I1063" s="145"/>
      <c r="J1063" s="148"/>
      <c r="K1063" s="149"/>
    </row>
    <row r="1064" spans="2:11" s="17" customFormat="1" x14ac:dyDescent="0.25">
      <c r="B1064" s="55"/>
      <c r="C1064" s="55"/>
      <c r="F1064" s="66"/>
      <c r="G1064" s="236"/>
      <c r="I1064" s="145"/>
      <c r="J1064" s="148"/>
      <c r="K1064" s="149"/>
    </row>
    <row r="1065" spans="2:11" s="17" customFormat="1" x14ac:dyDescent="0.25">
      <c r="B1065" s="55"/>
      <c r="C1065" s="55"/>
      <c r="F1065" s="66"/>
      <c r="G1065" s="236"/>
      <c r="I1065" s="145"/>
      <c r="J1065" s="148"/>
      <c r="K1065" s="149"/>
    </row>
    <row r="1066" spans="2:11" s="17" customFormat="1" x14ac:dyDescent="0.25">
      <c r="B1066" s="55"/>
      <c r="C1066" s="55"/>
      <c r="F1066" s="66"/>
      <c r="G1066" s="236"/>
      <c r="I1066" s="145"/>
      <c r="J1066" s="148"/>
      <c r="K1066" s="149"/>
    </row>
    <row r="1067" spans="2:11" s="17" customFormat="1" x14ac:dyDescent="0.25">
      <c r="B1067" s="55"/>
      <c r="C1067" s="55"/>
      <c r="F1067" s="66"/>
      <c r="G1067" s="236"/>
      <c r="I1067" s="145"/>
      <c r="J1067" s="148"/>
      <c r="K1067" s="149"/>
    </row>
    <row r="1068" spans="2:11" s="17" customFormat="1" x14ac:dyDescent="0.25">
      <c r="B1068" s="55"/>
      <c r="C1068" s="55"/>
      <c r="F1068" s="66"/>
      <c r="G1068" s="236"/>
      <c r="I1068" s="145"/>
      <c r="J1068" s="148"/>
      <c r="K1068" s="149"/>
    </row>
    <row r="1069" spans="2:11" s="17" customFormat="1" x14ac:dyDescent="0.25">
      <c r="B1069" s="55"/>
      <c r="C1069" s="55"/>
      <c r="F1069" s="66"/>
      <c r="G1069" s="236"/>
      <c r="I1069" s="145"/>
      <c r="J1069" s="148"/>
      <c r="K1069" s="149"/>
    </row>
    <row r="1070" spans="2:11" s="17" customFormat="1" x14ac:dyDescent="0.25">
      <c r="B1070" s="55"/>
      <c r="C1070" s="55"/>
      <c r="F1070" s="66"/>
      <c r="G1070" s="236"/>
      <c r="I1070" s="145"/>
      <c r="J1070" s="148"/>
      <c r="K1070" s="149"/>
    </row>
    <row r="1071" spans="2:11" s="17" customFormat="1" x14ac:dyDescent="0.25">
      <c r="B1071" s="55"/>
      <c r="C1071" s="55"/>
      <c r="F1071" s="66"/>
      <c r="G1071" s="236"/>
      <c r="I1071" s="145"/>
      <c r="J1071" s="148"/>
      <c r="K1071" s="149"/>
    </row>
    <row r="1072" spans="2:11" s="17" customFormat="1" x14ac:dyDescent="0.25">
      <c r="B1072" s="55"/>
      <c r="C1072" s="55"/>
      <c r="F1072" s="66"/>
      <c r="G1072" s="236"/>
      <c r="I1072" s="145"/>
      <c r="J1072" s="148"/>
      <c r="K1072" s="149"/>
    </row>
    <row r="1073" spans="2:11" s="17" customFormat="1" x14ac:dyDescent="0.25">
      <c r="B1073" s="55"/>
      <c r="C1073" s="55"/>
      <c r="F1073" s="66"/>
      <c r="G1073" s="236"/>
      <c r="I1073" s="145"/>
      <c r="J1073" s="148"/>
      <c r="K1073" s="149"/>
    </row>
    <row r="1074" spans="2:11" s="17" customFormat="1" x14ac:dyDescent="0.25">
      <c r="B1074" s="55"/>
      <c r="C1074" s="55"/>
      <c r="F1074" s="66"/>
      <c r="G1074" s="236"/>
      <c r="I1074" s="145"/>
      <c r="J1074" s="148"/>
      <c r="K1074" s="149"/>
    </row>
    <row r="1075" spans="2:11" s="17" customFormat="1" x14ac:dyDescent="0.25">
      <c r="B1075" s="55"/>
      <c r="C1075" s="55"/>
      <c r="F1075" s="66"/>
      <c r="G1075" s="236"/>
      <c r="I1075" s="145"/>
      <c r="J1075" s="148"/>
      <c r="K1075" s="149"/>
    </row>
    <row r="1076" spans="2:11" s="17" customFormat="1" x14ac:dyDescent="0.25">
      <c r="B1076" s="55"/>
      <c r="C1076" s="55"/>
      <c r="F1076" s="66"/>
      <c r="G1076" s="236"/>
      <c r="I1076" s="145"/>
      <c r="J1076" s="148"/>
      <c r="K1076" s="149"/>
    </row>
    <row r="1077" spans="2:11" s="17" customFormat="1" x14ac:dyDescent="0.25">
      <c r="B1077" s="55"/>
      <c r="C1077" s="55"/>
      <c r="F1077" s="66"/>
      <c r="G1077" s="236"/>
      <c r="I1077" s="145"/>
      <c r="J1077" s="148"/>
      <c r="K1077" s="149"/>
    </row>
    <row r="1078" spans="2:11" s="17" customFormat="1" x14ac:dyDescent="0.25">
      <c r="B1078" s="55"/>
      <c r="C1078" s="55"/>
      <c r="F1078" s="66"/>
      <c r="G1078" s="236"/>
      <c r="I1078" s="145"/>
      <c r="J1078" s="148"/>
      <c r="K1078" s="149"/>
    </row>
    <row r="1079" spans="2:11" s="17" customFormat="1" x14ac:dyDescent="0.25">
      <c r="B1079" s="55"/>
      <c r="C1079" s="55"/>
      <c r="F1079" s="66"/>
      <c r="G1079" s="236"/>
      <c r="I1079" s="145"/>
      <c r="J1079" s="148"/>
      <c r="K1079" s="149"/>
    </row>
    <row r="1080" spans="2:11" s="17" customFormat="1" x14ac:dyDescent="0.25">
      <c r="B1080" s="55"/>
      <c r="C1080" s="55"/>
      <c r="F1080" s="66"/>
      <c r="G1080" s="236"/>
      <c r="I1080" s="145"/>
      <c r="J1080" s="148"/>
      <c r="K1080" s="149"/>
    </row>
    <row r="1081" spans="2:11" s="17" customFormat="1" x14ac:dyDescent="0.25">
      <c r="B1081" s="55"/>
      <c r="C1081" s="55"/>
      <c r="F1081" s="66"/>
      <c r="G1081" s="236"/>
      <c r="I1081" s="145"/>
      <c r="J1081" s="148"/>
      <c r="K1081" s="149"/>
    </row>
    <row r="1082" spans="2:11" s="17" customFormat="1" x14ac:dyDescent="0.25">
      <c r="B1082" s="55"/>
      <c r="C1082" s="55"/>
      <c r="F1082" s="66"/>
      <c r="G1082" s="236"/>
      <c r="I1082" s="145"/>
      <c r="J1082" s="148"/>
      <c r="K1082" s="149"/>
    </row>
    <row r="1083" spans="2:11" s="17" customFormat="1" x14ac:dyDescent="0.25">
      <c r="B1083" s="55"/>
      <c r="C1083" s="55"/>
      <c r="F1083" s="66"/>
      <c r="G1083" s="236"/>
      <c r="I1083" s="145"/>
      <c r="J1083" s="148"/>
      <c r="K1083" s="149"/>
    </row>
    <row r="1084" spans="2:11" s="17" customFormat="1" x14ac:dyDescent="0.25">
      <c r="B1084" s="55"/>
      <c r="C1084" s="55"/>
      <c r="F1084" s="66"/>
      <c r="G1084" s="236"/>
      <c r="I1084" s="145"/>
      <c r="J1084" s="148"/>
      <c r="K1084" s="149"/>
    </row>
    <row r="1085" spans="2:11" s="17" customFormat="1" x14ac:dyDescent="0.25">
      <c r="B1085" s="55"/>
      <c r="C1085" s="55"/>
      <c r="F1085" s="66"/>
      <c r="G1085" s="236"/>
      <c r="I1085" s="145"/>
      <c r="J1085" s="148"/>
      <c r="K1085" s="149"/>
    </row>
    <row r="1086" spans="2:11" s="17" customFormat="1" x14ac:dyDescent="0.25">
      <c r="B1086" s="55"/>
      <c r="C1086" s="55"/>
      <c r="F1086" s="66"/>
      <c r="G1086" s="236"/>
      <c r="I1086" s="145"/>
      <c r="J1086" s="148"/>
      <c r="K1086" s="149"/>
    </row>
    <row r="1087" spans="2:11" s="17" customFormat="1" x14ac:dyDescent="0.25">
      <c r="B1087" s="55"/>
      <c r="C1087" s="55"/>
      <c r="F1087" s="66"/>
      <c r="G1087" s="236"/>
      <c r="I1087" s="145"/>
      <c r="J1087" s="148"/>
      <c r="K1087" s="149"/>
    </row>
    <row r="1088" spans="2:11" s="17" customFormat="1" x14ac:dyDescent="0.25">
      <c r="B1088" s="55"/>
      <c r="C1088" s="55"/>
      <c r="F1088" s="66"/>
      <c r="G1088" s="236"/>
      <c r="I1088" s="145"/>
      <c r="J1088" s="148"/>
      <c r="K1088" s="149"/>
    </row>
    <row r="1089" spans="2:11" s="17" customFormat="1" x14ac:dyDescent="0.25">
      <c r="B1089" s="55"/>
      <c r="C1089" s="55"/>
      <c r="F1089" s="66"/>
      <c r="G1089" s="236"/>
      <c r="I1089" s="145"/>
      <c r="J1089" s="148"/>
      <c r="K1089" s="149"/>
    </row>
    <row r="1090" spans="2:11" s="17" customFormat="1" x14ac:dyDescent="0.25">
      <c r="B1090" s="55"/>
      <c r="C1090" s="55"/>
      <c r="F1090" s="66"/>
      <c r="G1090" s="236"/>
      <c r="I1090" s="145"/>
      <c r="J1090" s="148"/>
      <c r="K1090" s="149"/>
    </row>
    <row r="1091" spans="2:11" s="17" customFormat="1" x14ac:dyDescent="0.25">
      <c r="B1091" s="55"/>
      <c r="C1091" s="55"/>
      <c r="F1091" s="66"/>
      <c r="G1091" s="236"/>
      <c r="I1091" s="145"/>
      <c r="J1091" s="148"/>
      <c r="K1091" s="149"/>
    </row>
    <row r="1092" spans="2:11" s="17" customFormat="1" x14ac:dyDescent="0.25">
      <c r="B1092" s="55"/>
      <c r="C1092" s="55"/>
      <c r="F1092" s="66"/>
      <c r="G1092" s="236"/>
      <c r="I1092" s="145"/>
      <c r="J1092" s="148"/>
      <c r="K1092" s="149"/>
    </row>
    <row r="1093" spans="2:11" s="17" customFormat="1" x14ac:dyDescent="0.25">
      <c r="B1093" s="55"/>
      <c r="C1093" s="55"/>
      <c r="F1093" s="66"/>
      <c r="G1093" s="236"/>
      <c r="I1093" s="145"/>
      <c r="J1093" s="148"/>
      <c r="K1093" s="149"/>
    </row>
    <row r="1094" spans="2:11" s="17" customFormat="1" x14ac:dyDescent="0.25">
      <c r="B1094" s="55"/>
      <c r="C1094" s="55"/>
      <c r="F1094" s="66"/>
      <c r="G1094" s="236"/>
      <c r="I1094" s="145"/>
      <c r="J1094" s="148"/>
      <c r="K1094" s="149"/>
    </row>
    <row r="1095" spans="2:11" s="17" customFormat="1" x14ac:dyDescent="0.25">
      <c r="B1095" s="55"/>
      <c r="C1095" s="55"/>
      <c r="F1095" s="66"/>
      <c r="G1095" s="236"/>
      <c r="I1095" s="145"/>
      <c r="J1095" s="148"/>
      <c r="K1095" s="149"/>
    </row>
    <row r="1096" spans="2:11" s="17" customFormat="1" x14ac:dyDescent="0.25">
      <c r="B1096" s="55"/>
      <c r="C1096" s="55"/>
      <c r="F1096" s="66"/>
      <c r="G1096" s="236"/>
      <c r="I1096" s="145"/>
      <c r="J1096" s="148"/>
      <c r="K1096" s="149"/>
    </row>
    <row r="1097" spans="2:11" s="17" customFormat="1" x14ac:dyDescent="0.25">
      <c r="B1097" s="55"/>
      <c r="C1097" s="55"/>
      <c r="F1097" s="66"/>
      <c r="G1097" s="236"/>
      <c r="I1097" s="145"/>
      <c r="J1097" s="148"/>
      <c r="K1097" s="149"/>
    </row>
    <row r="1098" spans="2:11" s="17" customFormat="1" x14ac:dyDescent="0.25">
      <c r="B1098" s="55"/>
      <c r="C1098" s="55"/>
      <c r="F1098" s="66"/>
      <c r="G1098" s="236"/>
      <c r="I1098" s="145"/>
      <c r="J1098" s="148"/>
      <c r="K1098" s="149"/>
    </row>
    <row r="1099" spans="2:11" s="17" customFormat="1" x14ac:dyDescent="0.25">
      <c r="B1099" s="55"/>
      <c r="C1099" s="55"/>
      <c r="F1099" s="66"/>
      <c r="G1099" s="236"/>
      <c r="I1099" s="145"/>
      <c r="J1099" s="148"/>
      <c r="K1099" s="149"/>
    </row>
    <row r="1100" spans="2:11" s="17" customFormat="1" x14ac:dyDescent="0.25">
      <c r="B1100" s="55"/>
      <c r="C1100" s="55"/>
      <c r="F1100" s="66"/>
      <c r="G1100" s="236"/>
      <c r="I1100" s="145"/>
      <c r="J1100" s="148"/>
      <c r="K1100" s="149"/>
    </row>
    <row r="1101" spans="2:11" s="17" customFormat="1" x14ac:dyDescent="0.25">
      <c r="B1101" s="55"/>
      <c r="C1101" s="55"/>
      <c r="F1101" s="66"/>
      <c r="G1101" s="236"/>
      <c r="I1101" s="145"/>
      <c r="J1101" s="148"/>
      <c r="K1101" s="149"/>
    </row>
    <row r="1102" spans="2:11" s="17" customFormat="1" x14ac:dyDescent="0.25">
      <c r="B1102" s="55"/>
      <c r="C1102" s="55"/>
      <c r="F1102" s="66"/>
      <c r="G1102" s="236"/>
      <c r="I1102" s="145"/>
      <c r="J1102" s="148"/>
      <c r="K1102" s="149"/>
    </row>
    <row r="1103" spans="2:11" s="17" customFormat="1" x14ac:dyDescent="0.25">
      <c r="B1103" s="55"/>
      <c r="C1103" s="55"/>
      <c r="F1103" s="66"/>
      <c r="G1103" s="236"/>
      <c r="I1103" s="145"/>
      <c r="J1103" s="148"/>
      <c r="K1103" s="149"/>
    </row>
    <row r="1104" spans="2:11" s="17" customFormat="1" x14ac:dyDescent="0.25">
      <c r="B1104" s="55"/>
      <c r="C1104" s="55"/>
      <c r="F1104" s="66"/>
      <c r="G1104" s="236"/>
      <c r="I1104" s="145"/>
      <c r="J1104" s="148"/>
      <c r="K1104" s="149"/>
    </row>
    <row r="1105" spans="2:11" s="17" customFormat="1" x14ac:dyDescent="0.25">
      <c r="B1105" s="55"/>
      <c r="C1105" s="55"/>
      <c r="F1105" s="66"/>
      <c r="G1105" s="236"/>
      <c r="I1105" s="145"/>
      <c r="J1105" s="148"/>
      <c r="K1105" s="149"/>
    </row>
    <row r="1106" spans="2:11" s="17" customFormat="1" x14ac:dyDescent="0.25">
      <c r="B1106" s="55"/>
      <c r="C1106" s="55"/>
      <c r="F1106" s="66"/>
      <c r="G1106" s="236"/>
      <c r="I1106" s="145"/>
      <c r="J1106" s="148"/>
      <c r="K1106" s="149"/>
    </row>
    <row r="1107" spans="2:11" s="17" customFormat="1" x14ac:dyDescent="0.25">
      <c r="B1107" s="55"/>
      <c r="C1107" s="55"/>
      <c r="F1107" s="66"/>
      <c r="G1107" s="236"/>
      <c r="I1107" s="145"/>
      <c r="J1107" s="148"/>
      <c r="K1107" s="149"/>
    </row>
    <row r="1108" spans="2:11" s="17" customFormat="1" x14ac:dyDescent="0.25">
      <c r="B1108" s="55"/>
      <c r="C1108" s="55"/>
      <c r="F1108" s="66"/>
      <c r="G1108" s="236"/>
      <c r="I1108" s="145"/>
      <c r="J1108" s="148"/>
      <c r="K1108" s="149"/>
    </row>
    <row r="1109" spans="2:11" s="17" customFormat="1" x14ac:dyDescent="0.25">
      <c r="B1109" s="55"/>
      <c r="C1109" s="55"/>
      <c r="F1109" s="66"/>
      <c r="G1109" s="236"/>
      <c r="I1109" s="145"/>
      <c r="J1109" s="148"/>
      <c r="K1109" s="149"/>
    </row>
    <row r="1110" spans="2:11" s="17" customFormat="1" x14ac:dyDescent="0.25">
      <c r="B1110" s="55"/>
      <c r="C1110" s="55"/>
      <c r="F1110" s="66"/>
      <c r="G1110" s="236"/>
      <c r="I1110" s="145"/>
      <c r="J1110" s="148"/>
      <c r="K1110" s="149"/>
    </row>
    <row r="1111" spans="2:11" s="17" customFormat="1" x14ac:dyDescent="0.25">
      <c r="B1111" s="55"/>
      <c r="C1111" s="55"/>
      <c r="F1111" s="66"/>
      <c r="G1111" s="236"/>
      <c r="I1111" s="145"/>
      <c r="J1111" s="148"/>
      <c r="K1111" s="149"/>
    </row>
    <row r="1112" spans="2:11" s="17" customFormat="1" x14ac:dyDescent="0.25">
      <c r="B1112" s="55"/>
      <c r="C1112" s="55"/>
      <c r="F1112" s="66"/>
      <c r="G1112" s="236"/>
      <c r="I1112" s="145"/>
      <c r="J1112" s="148"/>
      <c r="K1112" s="149"/>
    </row>
    <row r="1113" spans="2:11" s="17" customFormat="1" x14ac:dyDescent="0.25">
      <c r="B1113" s="55"/>
      <c r="C1113" s="55"/>
      <c r="F1113" s="66"/>
      <c r="G1113" s="236"/>
      <c r="I1113" s="145"/>
      <c r="J1113" s="148"/>
      <c r="K1113" s="149"/>
    </row>
    <row r="1114" spans="2:11" s="17" customFormat="1" x14ac:dyDescent="0.25">
      <c r="B1114" s="55"/>
      <c r="C1114" s="55"/>
      <c r="F1114" s="66"/>
      <c r="G1114" s="236"/>
      <c r="I1114" s="145"/>
      <c r="J1114" s="148"/>
      <c r="K1114" s="149"/>
    </row>
    <row r="1115" spans="2:11" s="17" customFormat="1" x14ac:dyDescent="0.25">
      <c r="B1115" s="55"/>
      <c r="C1115" s="55"/>
      <c r="F1115" s="66"/>
      <c r="G1115" s="236"/>
      <c r="I1115" s="145"/>
      <c r="J1115" s="148"/>
      <c r="K1115" s="149"/>
    </row>
    <row r="1116" spans="2:11" s="17" customFormat="1" x14ac:dyDescent="0.25">
      <c r="B1116" s="55"/>
      <c r="C1116" s="55"/>
      <c r="F1116" s="66"/>
      <c r="G1116" s="236"/>
      <c r="I1116" s="145"/>
      <c r="J1116" s="148"/>
      <c r="K1116" s="149"/>
    </row>
    <row r="1117" spans="2:11" s="17" customFormat="1" x14ac:dyDescent="0.25">
      <c r="B1117" s="55"/>
      <c r="C1117" s="55"/>
      <c r="F1117" s="66"/>
      <c r="G1117" s="236"/>
      <c r="I1117" s="145"/>
      <c r="J1117" s="148"/>
      <c r="K1117" s="149"/>
    </row>
    <row r="1118" spans="2:11" s="17" customFormat="1" x14ac:dyDescent="0.25">
      <c r="B1118" s="55"/>
      <c r="C1118" s="55"/>
      <c r="F1118" s="66"/>
      <c r="G1118" s="236"/>
      <c r="I1118" s="145"/>
      <c r="J1118" s="148"/>
      <c r="K1118" s="149"/>
    </row>
    <row r="1119" spans="2:11" s="17" customFormat="1" x14ac:dyDescent="0.25">
      <c r="B1119" s="55"/>
      <c r="C1119" s="55"/>
      <c r="F1119" s="66"/>
      <c r="G1119" s="236"/>
      <c r="I1119" s="145"/>
      <c r="J1119" s="148"/>
      <c r="K1119" s="149"/>
    </row>
    <row r="1120" spans="2:11" s="17" customFormat="1" x14ac:dyDescent="0.25">
      <c r="B1120" s="55"/>
      <c r="C1120" s="55"/>
      <c r="F1120" s="66"/>
      <c r="G1120" s="236"/>
      <c r="I1120" s="145"/>
      <c r="J1120" s="148"/>
      <c r="K1120" s="149"/>
    </row>
    <row r="1121" spans="2:11" s="17" customFormat="1" x14ac:dyDescent="0.25">
      <c r="B1121" s="55"/>
      <c r="C1121" s="55"/>
      <c r="F1121" s="66"/>
      <c r="G1121" s="236"/>
      <c r="I1121" s="145"/>
      <c r="J1121" s="148"/>
      <c r="K1121" s="149"/>
    </row>
    <row r="1122" spans="2:11" s="17" customFormat="1" x14ac:dyDescent="0.25">
      <c r="B1122" s="55"/>
      <c r="C1122" s="55"/>
      <c r="F1122" s="66"/>
      <c r="G1122" s="236"/>
      <c r="I1122" s="145"/>
      <c r="J1122" s="148"/>
      <c r="K1122" s="149"/>
    </row>
    <row r="1123" spans="2:11" s="17" customFormat="1" x14ac:dyDescent="0.25">
      <c r="B1123" s="55"/>
      <c r="C1123" s="55"/>
      <c r="F1123" s="66"/>
      <c r="G1123" s="236"/>
      <c r="I1123" s="145"/>
      <c r="J1123" s="148"/>
      <c r="K1123" s="149"/>
    </row>
    <row r="1124" spans="2:11" s="17" customFormat="1" x14ac:dyDescent="0.25">
      <c r="B1124" s="55"/>
      <c r="C1124" s="55"/>
      <c r="F1124" s="66"/>
      <c r="G1124" s="236"/>
      <c r="I1124" s="145"/>
      <c r="J1124" s="148"/>
      <c r="K1124" s="149"/>
    </row>
    <row r="1125" spans="2:11" s="17" customFormat="1" x14ac:dyDescent="0.25">
      <c r="B1125" s="55"/>
      <c r="C1125" s="55"/>
      <c r="F1125" s="66"/>
      <c r="G1125" s="236"/>
      <c r="I1125" s="145"/>
      <c r="J1125" s="148"/>
      <c r="K1125" s="149"/>
    </row>
    <row r="1126" spans="2:11" s="17" customFormat="1" x14ac:dyDescent="0.25">
      <c r="B1126" s="55"/>
      <c r="C1126" s="55"/>
      <c r="F1126" s="66"/>
      <c r="G1126" s="236"/>
      <c r="I1126" s="145"/>
      <c r="J1126" s="148"/>
      <c r="K1126" s="149"/>
    </row>
    <row r="1127" spans="2:11" s="17" customFormat="1" x14ac:dyDescent="0.25">
      <c r="B1127" s="55"/>
      <c r="C1127" s="55"/>
      <c r="F1127" s="66"/>
      <c r="G1127" s="236"/>
      <c r="I1127" s="145"/>
      <c r="J1127" s="148"/>
      <c r="K1127" s="149"/>
    </row>
    <row r="1128" spans="2:11" s="17" customFormat="1" x14ac:dyDescent="0.25">
      <c r="B1128" s="55"/>
      <c r="C1128" s="55"/>
      <c r="F1128" s="66"/>
      <c r="G1128" s="236"/>
      <c r="I1128" s="145"/>
      <c r="J1128" s="148"/>
      <c r="K1128" s="149"/>
    </row>
    <row r="1129" spans="2:11" s="17" customFormat="1" x14ac:dyDescent="0.25">
      <c r="B1129" s="55"/>
      <c r="C1129" s="55"/>
      <c r="F1129" s="66"/>
      <c r="G1129" s="236"/>
      <c r="I1129" s="145"/>
      <c r="J1129" s="148"/>
      <c r="K1129" s="149"/>
    </row>
    <row r="1130" spans="2:11" s="17" customFormat="1" x14ac:dyDescent="0.25">
      <c r="B1130" s="55"/>
      <c r="C1130" s="55"/>
      <c r="F1130" s="66"/>
      <c r="G1130" s="236"/>
      <c r="I1130" s="145"/>
      <c r="J1130" s="148"/>
      <c r="K1130" s="149"/>
    </row>
    <row r="1131" spans="2:11" s="17" customFormat="1" x14ac:dyDescent="0.25">
      <c r="B1131" s="55"/>
      <c r="C1131" s="55"/>
      <c r="F1131" s="66"/>
      <c r="G1131" s="236"/>
      <c r="I1131" s="145"/>
      <c r="J1131" s="148"/>
      <c r="K1131" s="149"/>
    </row>
    <row r="1132" spans="2:11" s="17" customFormat="1" x14ac:dyDescent="0.25">
      <c r="B1132" s="55"/>
      <c r="C1132" s="55"/>
      <c r="F1132" s="66"/>
      <c r="G1132" s="236"/>
      <c r="I1132" s="145"/>
      <c r="J1132" s="148"/>
      <c r="K1132" s="149"/>
    </row>
    <row r="1133" spans="2:11" s="17" customFormat="1" x14ac:dyDescent="0.25">
      <c r="B1133" s="55"/>
      <c r="C1133" s="55"/>
      <c r="F1133" s="66"/>
      <c r="G1133" s="236"/>
      <c r="I1133" s="145"/>
      <c r="J1133" s="148"/>
      <c r="K1133" s="149"/>
    </row>
    <row r="1134" spans="2:11" s="17" customFormat="1" x14ac:dyDescent="0.25">
      <c r="B1134" s="55"/>
      <c r="C1134" s="55"/>
      <c r="F1134" s="66"/>
      <c r="G1134" s="236"/>
      <c r="I1134" s="145"/>
      <c r="J1134" s="148"/>
      <c r="K1134" s="149"/>
    </row>
    <row r="1135" spans="2:11" s="17" customFormat="1" x14ac:dyDescent="0.25">
      <c r="B1135" s="55"/>
      <c r="C1135" s="55"/>
      <c r="F1135" s="66"/>
      <c r="G1135" s="236"/>
      <c r="I1135" s="145"/>
      <c r="J1135" s="148"/>
      <c r="K1135" s="149"/>
    </row>
    <row r="1136" spans="2:11" s="17" customFormat="1" x14ac:dyDescent="0.25">
      <c r="B1136" s="55"/>
      <c r="C1136" s="55"/>
      <c r="F1136" s="66"/>
      <c r="G1136" s="236"/>
      <c r="I1136" s="145"/>
      <c r="J1136" s="148"/>
      <c r="K1136" s="149"/>
    </row>
    <row r="1137" spans="2:11" s="17" customFormat="1" x14ac:dyDescent="0.25">
      <c r="B1137" s="55"/>
      <c r="C1137" s="55"/>
      <c r="F1137" s="66"/>
      <c r="G1137" s="236"/>
      <c r="I1137" s="145"/>
      <c r="J1137" s="148"/>
      <c r="K1137" s="149"/>
    </row>
    <row r="1138" spans="2:11" s="17" customFormat="1" x14ac:dyDescent="0.25">
      <c r="B1138" s="55"/>
      <c r="C1138" s="55"/>
      <c r="F1138" s="66"/>
      <c r="G1138" s="236"/>
      <c r="I1138" s="145"/>
      <c r="J1138" s="148"/>
      <c r="K1138" s="149"/>
    </row>
    <row r="1139" spans="2:11" s="17" customFormat="1" x14ac:dyDescent="0.25">
      <c r="B1139" s="55"/>
      <c r="C1139" s="55"/>
      <c r="F1139" s="66"/>
      <c r="G1139" s="236"/>
      <c r="I1139" s="145"/>
      <c r="J1139" s="148"/>
      <c r="K1139" s="149"/>
    </row>
    <row r="1140" spans="2:11" s="17" customFormat="1" x14ac:dyDescent="0.25">
      <c r="B1140" s="55"/>
      <c r="C1140" s="55"/>
      <c r="F1140" s="66"/>
      <c r="G1140" s="236"/>
      <c r="I1140" s="145"/>
      <c r="J1140" s="148"/>
      <c r="K1140" s="149"/>
    </row>
    <row r="1141" spans="2:11" s="17" customFormat="1" x14ac:dyDescent="0.25">
      <c r="B1141" s="55"/>
      <c r="C1141" s="55"/>
      <c r="F1141" s="66"/>
      <c r="G1141" s="236"/>
      <c r="I1141" s="145"/>
      <c r="J1141" s="148"/>
      <c r="K1141" s="149"/>
    </row>
    <row r="1142" spans="2:11" s="17" customFormat="1" x14ac:dyDescent="0.25">
      <c r="B1142" s="55"/>
      <c r="C1142" s="55"/>
      <c r="F1142" s="66"/>
      <c r="G1142" s="236"/>
      <c r="I1142" s="145"/>
      <c r="J1142" s="148"/>
      <c r="K1142" s="149"/>
    </row>
    <row r="1143" spans="2:11" s="17" customFormat="1" x14ac:dyDescent="0.25">
      <c r="B1143" s="55"/>
      <c r="C1143" s="55"/>
      <c r="F1143" s="66"/>
      <c r="G1143" s="236"/>
      <c r="I1143" s="145"/>
      <c r="J1143" s="148"/>
      <c r="K1143" s="149"/>
    </row>
    <row r="1144" spans="2:11" s="17" customFormat="1" x14ac:dyDescent="0.25">
      <c r="B1144" s="55"/>
      <c r="C1144" s="55"/>
      <c r="F1144" s="66"/>
      <c r="G1144" s="236"/>
      <c r="I1144" s="145"/>
      <c r="J1144" s="148"/>
      <c r="K1144" s="149"/>
    </row>
    <row r="1145" spans="2:11" s="17" customFormat="1" x14ac:dyDescent="0.25">
      <c r="B1145" s="55"/>
      <c r="C1145" s="55"/>
      <c r="F1145" s="66"/>
      <c r="G1145" s="236"/>
      <c r="I1145" s="145"/>
      <c r="J1145" s="148"/>
      <c r="K1145" s="149"/>
    </row>
    <row r="1146" spans="2:11" s="17" customFormat="1" x14ac:dyDescent="0.25">
      <c r="B1146" s="55"/>
      <c r="C1146" s="55"/>
      <c r="F1146" s="66"/>
      <c r="G1146" s="236"/>
      <c r="I1146" s="145"/>
      <c r="J1146" s="148"/>
      <c r="K1146" s="149"/>
    </row>
    <row r="1147" spans="2:11" s="17" customFormat="1" x14ac:dyDescent="0.25">
      <c r="B1147" s="55"/>
      <c r="C1147" s="55"/>
      <c r="F1147" s="66"/>
      <c r="G1147" s="236"/>
      <c r="I1147" s="145"/>
      <c r="J1147" s="148"/>
      <c r="K1147" s="149"/>
    </row>
    <row r="1148" spans="2:11" s="17" customFormat="1" x14ac:dyDescent="0.25">
      <c r="B1148" s="55"/>
      <c r="C1148" s="55"/>
      <c r="F1148" s="66"/>
      <c r="G1148" s="236"/>
      <c r="I1148" s="145"/>
      <c r="J1148" s="148"/>
      <c r="K1148" s="149"/>
    </row>
    <row r="1149" spans="2:11" s="17" customFormat="1" x14ac:dyDescent="0.25">
      <c r="B1149" s="55"/>
      <c r="C1149" s="55"/>
      <c r="F1149" s="66"/>
      <c r="G1149" s="236"/>
      <c r="I1149" s="145"/>
      <c r="J1149" s="148"/>
      <c r="K1149" s="149"/>
    </row>
    <row r="1150" spans="2:11" s="17" customFormat="1" x14ac:dyDescent="0.25">
      <c r="B1150" s="55"/>
      <c r="C1150" s="55"/>
      <c r="F1150" s="66"/>
      <c r="G1150" s="236"/>
      <c r="I1150" s="145"/>
      <c r="J1150" s="148"/>
      <c r="K1150" s="149"/>
    </row>
    <row r="1151" spans="2:11" s="17" customFormat="1" x14ac:dyDescent="0.25">
      <c r="B1151" s="55"/>
      <c r="C1151" s="55"/>
      <c r="F1151" s="66"/>
      <c r="G1151" s="236"/>
      <c r="I1151" s="145"/>
      <c r="J1151" s="148"/>
      <c r="K1151" s="149"/>
    </row>
    <row r="1152" spans="2:11" s="17" customFormat="1" x14ac:dyDescent="0.25">
      <c r="B1152" s="55"/>
      <c r="C1152" s="55"/>
      <c r="F1152" s="66"/>
      <c r="G1152" s="236"/>
      <c r="I1152" s="145"/>
      <c r="J1152" s="148"/>
      <c r="K1152" s="149"/>
    </row>
    <row r="1153" spans="2:11" s="17" customFormat="1" x14ac:dyDescent="0.25">
      <c r="B1153" s="55"/>
      <c r="C1153" s="55"/>
      <c r="F1153" s="66"/>
      <c r="G1153" s="236"/>
      <c r="I1153" s="145"/>
      <c r="J1153" s="148"/>
      <c r="K1153" s="149"/>
    </row>
    <row r="1154" spans="2:11" s="17" customFormat="1" x14ac:dyDescent="0.25">
      <c r="B1154" s="55"/>
      <c r="C1154" s="55"/>
      <c r="F1154" s="66"/>
      <c r="G1154" s="236"/>
      <c r="I1154" s="145"/>
      <c r="J1154" s="148"/>
      <c r="K1154" s="149"/>
    </row>
    <row r="1155" spans="2:11" s="17" customFormat="1" x14ac:dyDescent="0.25">
      <c r="B1155" s="55"/>
      <c r="C1155" s="55"/>
      <c r="F1155" s="66"/>
      <c r="G1155" s="236"/>
      <c r="I1155" s="145"/>
      <c r="J1155" s="148"/>
      <c r="K1155" s="149"/>
    </row>
    <row r="1156" spans="2:11" s="17" customFormat="1" x14ac:dyDescent="0.25">
      <c r="B1156" s="55"/>
      <c r="C1156" s="55"/>
      <c r="F1156" s="66"/>
      <c r="G1156" s="236"/>
      <c r="I1156" s="145"/>
      <c r="J1156" s="148"/>
      <c r="K1156" s="149"/>
    </row>
    <row r="1157" spans="2:11" s="17" customFormat="1" x14ac:dyDescent="0.25">
      <c r="B1157" s="55"/>
      <c r="C1157" s="55"/>
      <c r="F1157" s="66"/>
      <c r="G1157" s="236"/>
      <c r="I1157" s="145"/>
      <c r="J1157" s="148"/>
      <c r="K1157" s="149"/>
    </row>
    <row r="1158" spans="2:11" s="17" customFormat="1" x14ac:dyDescent="0.25">
      <c r="B1158" s="55"/>
      <c r="C1158" s="55"/>
      <c r="F1158" s="66"/>
      <c r="G1158" s="236"/>
      <c r="I1158" s="145"/>
      <c r="J1158" s="148"/>
      <c r="K1158" s="149"/>
    </row>
    <row r="1159" spans="2:11" s="17" customFormat="1" x14ac:dyDescent="0.25">
      <c r="B1159" s="55"/>
      <c r="C1159" s="55"/>
      <c r="F1159" s="66"/>
      <c r="G1159" s="236"/>
      <c r="I1159" s="145"/>
      <c r="J1159" s="148"/>
      <c r="K1159" s="149"/>
    </row>
    <row r="1160" spans="2:11" s="17" customFormat="1" x14ac:dyDescent="0.25">
      <c r="B1160" s="55"/>
      <c r="C1160" s="55"/>
      <c r="F1160" s="66"/>
      <c r="G1160" s="236"/>
      <c r="I1160" s="145"/>
      <c r="J1160" s="148"/>
      <c r="K1160" s="149"/>
    </row>
    <row r="1161" spans="2:11" s="17" customFormat="1" x14ac:dyDescent="0.25">
      <c r="B1161" s="55"/>
      <c r="C1161" s="55"/>
      <c r="F1161" s="66"/>
      <c r="G1161" s="236"/>
      <c r="I1161" s="145"/>
      <c r="J1161" s="148"/>
      <c r="K1161" s="149"/>
    </row>
    <row r="1162" spans="2:11" s="17" customFormat="1" x14ac:dyDescent="0.25">
      <c r="B1162" s="55"/>
      <c r="C1162" s="55"/>
      <c r="F1162" s="66"/>
      <c r="G1162" s="236"/>
      <c r="I1162" s="145"/>
      <c r="J1162" s="148"/>
      <c r="K1162" s="149"/>
    </row>
    <row r="1163" spans="2:11" s="17" customFormat="1" x14ac:dyDescent="0.25">
      <c r="B1163" s="55"/>
      <c r="C1163" s="55"/>
      <c r="F1163" s="66"/>
      <c r="G1163" s="236"/>
      <c r="I1163" s="145"/>
      <c r="J1163" s="148"/>
      <c r="K1163" s="149"/>
    </row>
    <row r="1164" spans="2:11" s="17" customFormat="1" x14ac:dyDescent="0.25">
      <c r="B1164" s="55"/>
      <c r="C1164" s="55"/>
      <c r="F1164" s="66"/>
      <c r="G1164" s="236"/>
      <c r="I1164" s="145"/>
      <c r="J1164" s="148"/>
      <c r="K1164" s="149"/>
    </row>
    <row r="1165" spans="2:11" s="17" customFormat="1" x14ac:dyDescent="0.25">
      <c r="B1165" s="55"/>
      <c r="C1165" s="55"/>
      <c r="F1165" s="66"/>
      <c r="G1165" s="236"/>
      <c r="I1165" s="145"/>
      <c r="J1165" s="148"/>
      <c r="K1165" s="149"/>
    </row>
    <row r="1166" spans="2:11" s="17" customFormat="1" x14ac:dyDescent="0.25">
      <c r="B1166" s="55"/>
      <c r="C1166" s="55"/>
      <c r="F1166" s="66"/>
      <c r="G1166" s="236"/>
      <c r="I1166" s="145"/>
      <c r="J1166" s="148"/>
      <c r="K1166" s="149"/>
    </row>
    <row r="1167" spans="2:11" s="17" customFormat="1" x14ac:dyDescent="0.25">
      <c r="B1167" s="55"/>
      <c r="C1167" s="55"/>
      <c r="F1167" s="66"/>
      <c r="G1167" s="236"/>
      <c r="I1167" s="145"/>
      <c r="J1167" s="148"/>
      <c r="K1167" s="149"/>
    </row>
    <row r="1168" spans="2:11" s="17" customFormat="1" x14ac:dyDescent="0.25">
      <c r="B1168" s="55"/>
      <c r="C1168" s="55"/>
      <c r="F1168" s="66"/>
      <c r="G1168" s="236"/>
      <c r="I1168" s="145"/>
      <c r="J1168" s="148"/>
      <c r="K1168" s="149"/>
    </row>
    <row r="1169" spans="2:11" s="17" customFormat="1" x14ac:dyDescent="0.25">
      <c r="B1169" s="55"/>
      <c r="C1169" s="55"/>
      <c r="F1169" s="66"/>
      <c r="G1169" s="236"/>
      <c r="I1169" s="145"/>
      <c r="J1169" s="148"/>
      <c r="K1169" s="149"/>
    </row>
    <row r="1170" spans="2:11" s="17" customFormat="1" x14ac:dyDescent="0.25">
      <c r="B1170" s="55"/>
      <c r="C1170" s="55"/>
      <c r="F1170" s="66"/>
      <c r="G1170" s="236"/>
      <c r="I1170" s="145"/>
      <c r="J1170" s="148"/>
      <c r="K1170" s="149"/>
    </row>
    <row r="1171" spans="2:11" s="17" customFormat="1" x14ac:dyDescent="0.25">
      <c r="B1171" s="55"/>
      <c r="C1171" s="55"/>
      <c r="F1171" s="66"/>
      <c r="G1171" s="236"/>
      <c r="I1171" s="145"/>
      <c r="J1171" s="148"/>
      <c r="K1171" s="149"/>
    </row>
    <row r="1172" spans="2:11" s="17" customFormat="1" x14ac:dyDescent="0.25">
      <c r="B1172" s="55"/>
      <c r="C1172" s="55"/>
      <c r="F1172" s="66"/>
      <c r="G1172" s="236"/>
      <c r="I1172" s="145"/>
      <c r="J1172" s="148"/>
      <c r="K1172" s="149"/>
    </row>
    <row r="1173" spans="2:11" s="17" customFormat="1" x14ac:dyDescent="0.25">
      <c r="B1173" s="55"/>
      <c r="C1173" s="55"/>
      <c r="F1173" s="66"/>
      <c r="G1173" s="236"/>
      <c r="I1173" s="145"/>
      <c r="J1173" s="148"/>
      <c r="K1173" s="149"/>
    </row>
    <row r="1174" spans="2:11" s="17" customFormat="1" x14ac:dyDescent="0.25">
      <c r="B1174" s="55"/>
      <c r="C1174" s="55"/>
      <c r="F1174" s="66"/>
      <c r="G1174" s="236"/>
      <c r="I1174" s="145"/>
      <c r="J1174" s="148"/>
      <c r="K1174" s="149"/>
    </row>
    <row r="1175" spans="2:11" s="17" customFormat="1" x14ac:dyDescent="0.25">
      <c r="B1175" s="55"/>
      <c r="C1175" s="55"/>
      <c r="F1175" s="66"/>
      <c r="G1175" s="236"/>
      <c r="I1175" s="145"/>
      <c r="J1175" s="148"/>
      <c r="K1175" s="149"/>
    </row>
    <row r="1176" spans="2:11" s="17" customFormat="1" x14ac:dyDescent="0.25">
      <c r="B1176" s="55"/>
      <c r="C1176" s="55"/>
      <c r="F1176" s="66"/>
      <c r="G1176" s="236"/>
      <c r="I1176" s="145"/>
      <c r="J1176" s="148"/>
      <c r="K1176" s="149"/>
    </row>
    <row r="1177" spans="2:11" s="17" customFormat="1" x14ac:dyDescent="0.25">
      <c r="B1177" s="55"/>
      <c r="C1177" s="55"/>
      <c r="F1177" s="66"/>
      <c r="G1177" s="236"/>
      <c r="I1177" s="145"/>
      <c r="J1177" s="148"/>
      <c r="K1177" s="149"/>
    </row>
    <row r="1178" spans="2:11" s="17" customFormat="1" x14ac:dyDescent="0.25">
      <c r="B1178" s="55"/>
      <c r="C1178" s="55"/>
      <c r="F1178" s="66"/>
      <c r="G1178" s="236"/>
      <c r="I1178" s="145"/>
      <c r="J1178" s="148"/>
      <c r="K1178" s="149"/>
    </row>
    <row r="1179" spans="2:11" s="17" customFormat="1" x14ac:dyDescent="0.25">
      <c r="B1179" s="55"/>
      <c r="C1179" s="55"/>
      <c r="F1179" s="66"/>
      <c r="G1179" s="236"/>
      <c r="I1179" s="145"/>
      <c r="J1179" s="148"/>
      <c r="K1179" s="149"/>
    </row>
    <row r="1180" spans="2:11" s="17" customFormat="1" x14ac:dyDescent="0.25">
      <c r="B1180" s="55"/>
      <c r="C1180" s="55"/>
      <c r="F1180" s="66"/>
      <c r="G1180" s="236"/>
      <c r="I1180" s="145"/>
      <c r="J1180" s="148"/>
      <c r="K1180" s="149"/>
    </row>
    <row r="1181" spans="2:11" s="17" customFormat="1" x14ac:dyDescent="0.25">
      <c r="B1181" s="55"/>
      <c r="C1181" s="55"/>
      <c r="F1181" s="66"/>
      <c r="G1181" s="236"/>
      <c r="I1181" s="145"/>
      <c r="J1181" s="148"/>
      <c r="K1181" s="149"/>
    </row>
    <row r="1182" spans="2:11" s="17" customFormat="1" x14ac:dyDescent="0.25">
      <c r="B1182" s="55"/>
      <c r="C1182" s="55"/>
      <c r="F1182" s="66"/>
      <c r="G1182" s="236"/>
      <c r="I1182" s="145"/>
      <c r="J1182" s="148"/>
      <c r="K1182" s="149"/>
    </row>
    <row r="1183" spans="2:11" s="17" customFormat="1" x14ac:dyDescent="0.25">
      <c r="B1183" s="55"/>
      <c r="C1183" s="55"/>
      <c r="F1183" s="66"/>
      <c r="G1183" s="236"/>
      <c r="I1183" s="145"/>
      <c r="J1183" s="148"/>
      <c r="K1183" s="149"/>
    </row>
    <row r="1184" spans="2:11" s="17" customFormat="1" x14ac:dyDescent="0.25">
      <c r="B1184" s="55"/>
      <c r="C1184" s="55"/>
      <c r="F1184" s="66"/>
      <c r="G1184" s="236"/>
      <c r="I1184" s="145"/>
      <c r="J1184" s="148"/>
      <c r="K1184" s="149"/>
    </row>
    <row r="1185" spans="2:11" s="17" customFormat="1" x14ac:dyDescent="0.25">
      <c r="B1185" s="55"/>
      <c r="C1185" s="55"/>
      <c r="F1185" s="66"/>
      <c r="G1185" s="236"/>
      <c r="I1185" s="145"/>
      <c r="J1185" s="148"/>
      <c r="K1185" s="149"/>
    </row>
    <row r="1186" spans="2:11" s="17" customFormat="1" x14ac:dyDescent="0.25">
      <c r="B1186" s="55"/>
      <c r="C1186" s="55"/>
      <c r="F1186" s="66"/>
      <c r="G1186" s="236"/>
      <c r="I1186" s="145"/>
      <c r="J1186" s="148"/>
      <c r="K1186" s="149"/>
    </row>
    <row r="1187" spans="2:11" s="17" customFormat="1" x14ac:dyDescent="0.25">
      <c r="B1187" s="55"/>
      <c r="C1187" s="55"/>
      <c r="F1187" s="66"/>
      <c r="G1187" s="236"/>
      <c r="I1187" s="145"/>
      <c r="J1187" s="148"/>
      <c r="K1187" s="149"/>
    </row>
    <row r="1188" spans="2:11" s="17" customFormat="1" x14ac:dyDescent="0.25">
      <c r="B1188" s="55"/>
      <c r="C1188" s="55"/>
      <c r="F1188" s="66"/>
      <c r="G1188" s="236"/>
      <c r="I1188" s="145"/>
      <c r="J1188" s="148"/>
      <c r="K1188" s="149"/>
    </row>
    <row r="1189" spans="2:11" s="17" customFormat="1" x14ac:dyDescent="0.25">
      <c r="B1189" s="55"/>
      <c r="C1189" s="55"/>
      <c r="F1189" s="66"/>
      <c r="G1189" s="236"/>
      <c r="I1189" s="145"/>
      <c r="J1189" s="148"/>
      <c r="K1189" s="149"/>
    </row>
    <row r="1190" spans="2:11" s="17" customFormat="1" x14ac:dyDescent="0.25">
      <c r="B1190" s="55"/>
      <c r="C1190" s="55"/>
      <c r="F1190" s="66"/>
      <c r="G1190" s="236"/>
      <c r="I1190" s="145"/>
      <c r="J1190" s="148"/>
      <c r="K1190" s="149"/>
    </row>
    <row r="1191" spans="2:11" s="17" customFormat="1" x14ac:dyDescent="0.25">
      <c r="B1191" s="55"/>
      <c r="C1191" s="55"/>
      <c r="F1191" s="66"/>
      <c r="G1191" s="236"/>
      <c r="I1191" s="145"/>
      <c r="J1191" s="148"/>
      <c r="K1191" s="149"/>
    </row>
    <row r="1192" spans="2:11" s="17" customFormat="1" x14ac:dyDescent="0.25">
      <c r="B1192" s="55"/>
      <c r="C1192" s="55"/>
      <c r="F1192" s="66"/>
      <c r="G1192" s="236"/>
      <c r="I1192" s="145"/>
      <c r="J1192" s="148"/>
      <c r="K1192" s="149"/>
    </row>
    <row r="1193" spans="2:11" s="17" customFormat="1" x14ac:dyDescent="0.25">
      <c r="B1193" s="55"/>
      <c r="C1193" s="55"/>
      <c r="F1193" s="66"/>
      <c r="G1193" s="236"/>
      <c r="I1193" s="145"/>
      <c r="J1193" s="148"/>
      <c r="K1193" s="149"/>
    </row>
    <row r="1194" spans="2:11" s="17" customFormat="1" x14ac:dyDescent="0.25">
      <c r="B1194" s="55"/>
      <c r="C1194" s="55"/>
      <c r="F1194" s="66"/>
      <c r="G1194" s="236"/>
      <c r="I1194" s="145"/>
      <c r="J1194" s="148"/>
      <c r="K1194" s="149"/>
    </row>
    <row r="1195" spans="2:11" s="17" customFormat="1" x14ac:dyDescent="0.25">
      <c r="B1195" s="55"/>
      <c r="C1195" s="55"/>
      <c r="F1195" s="66"/>
      <c r="G1195" s="236"/>
      <c r="I1195" s="145"/>
      <c r="J1195" s="148"/>
      <c r="K1195" s="149"/>
    </row>
    <row r="1196" spans="2:11" s="17" customFormat="1" x14ac:dyDescent="0.25">
      <c r="B1196" s="55"/>
      <c r="C1196" s="55"/>
      <c r="F1196" s="66"/>
      <c r="G1196" s="236"/>
      <c r="I1196" s="145"/>
      <c r="J1196" s="148"/>
      <c r="K1196" s="149"/>
    </row>
    <row r="1197" spans="2:11" s="17" customFormat="1" x14ac:dyDescent="0.25">
      <c r="B1197" s="55"/>
      <c r="C1197" s="55"/>
      <c r="F1197" s="66"/>
      <c r="G1197" s="236"/>
      <c r="I1197" s="145"/>
      <c r="J1197" s="148"/>
      <c r="K1197" s="149"/>
    </row>
    <row r="1198" spans="2:11" s="17" customFormat="1" x14ac:dyDescent="0.25">
      <c r="B1198" s="55"/>
      <c r="C1198" s="55"/>
      <c r="F1198" s="66"/>
      <c r="G1198" s="236"/>
      <c r="I1198" s="145"/>
      <c r="J1198" s="148"/>
      <c r="K1198" s="149"/>
    </row>
    <row r="1199" spans="2:11" s="17" customFormat="1" x14ac:dyDescent="0.25">
      <c r="B1199" s="55"/>
      <c r="C1199" s="55"/>
      <c r="F1199" s="66"/>
      <c r="G1199" s="236"/>
      <c r="I1199" s="145"/>
      <c r="J1199" s="148"/>
      <c r="K1199" s="149"/>
    </row>
    <row r="1200" spans="2:11" s="17" customFormat="1" x14ac:dyDescent="0.25">
      <c r="B1200" s="55"/>
      <c r="C1200" s="55"/>
      <c r="F1200" s="66"/>
      <c r="G1200" s="236"/>
      <c r="I1200" s="145"/>
      <c r="J1200" s="148"/>
      <c r="K1200" s="149"/>
    </row>
    <row r="1201" spans="2:11" s="17" customFormat="1" x14ac:dyDescent="0.25">
      <c r="B1201" s="55"/>
      <c r="C1201" s="55"/>
      <c r="F1201" s="66"/>
      <c r="G1201" s="236"/>
      <c r="I1201" s="145"/>
      <c r="J1201" s="148"/>
      <c r="K1201" s="149"/>
    </row>
    <row r="1202" spans="2:11" s="17" customFormat="1" x14ac:dyDescent="0.25">
      <c r="B1202" s="55"/>
      <c r="C1202" s="55"/>
      <c r="F1202" s="66"/>
      <c r="G1202" s="236"/>
      <c r="I1202" s="145"/>
      <c r="J1202" s="148"/>
      <c r="K1202" s="149"/>
    </row>
    <row r="1203" spans="2:11" s="17" customFormat="1" x14ac:dyDescent="0.25">
      <c r="B1203" s="55"/>
      <c r="C1203" s="55"/>
      <c r="F1203" s="66"/>
      <c r="G1203" s="236"/>
      <c r="I1203" s="145"/>
      <c r="J1203" s="148"/>
      <c r="K1203" s="149"/>
    </row>
    <row r="1204" spans="2:11" s="17" customFormat="1" x14ac:dyDescent="0.25">
      <c r="B1204" s="55"/>
      <c r="C1204" s="55"/>
      <c r="F1204" s="66"/>
      <c r="G1204" s="236"/>
      <c r="I1204" s="145"/>
      <c r="J1204" s="148"/>
      <c r="K1204" s="149"/>
    </row>
    <row r="1205" spans="2:11" s="17" customFormat="1" x14ac:dyDescent="0.25">
      <c r="B1205" s="55"/>
      <c r="C1205" s="55"/>
      <c r="F1205" s="66"/>
      <c r="G1205" s="236"/>
      <c r="I1205" s="145"/>
      <c r="J1205" s="148"/>
      <c r="K1205" s="149"/>
    </row>
    <row r="1206" spans="2:11" s="17" customFormat="1" x14ac:dyDescent="0.25">
      <c r="B1206" s="55"/>
      <c r="C1206" s="55"/>
      <c r="F1206" s="66"/>
      <c r="G1206" s="236"/>
      <c r="I1206" s="145"/>
      <c r="J1206" s="148"/>
      <c r="K1206" s="149"/>
    </row>
    <row r="1207" spans="2:11" s="17" customFormat="1" x14ac:dyDescent="0.25">
      <c r="B1207" s="55"/>
      <c r="C1207" s="55"/>
      <c r="F1207" s="66"/>
      <c r="G1207" s="236"/>
      <c r="I1207" s="145"/>
      <c r="J1207" s="148"/>
      <c r="K1207" s="149"/>
    </row>
    <row r="1208" spans="2:11" s="17" customFormat="1" x14ac:dyDescent="0.25">
      <c r="B1208" s="55"/>
      <c r="C1208" s="55"/>
      <c r="F1208" s="66"/>
      <c r="G1208" s="236"/>
      <c r="I1208" s="145"/>
      <c r="J1208" s="148"/>
      <c r="K1208" s="149"/>
    </row>
    <row r="1209" spans="2:11" s="17" customFormat="1" x14ac:dyDescent="0.25">
      <c r="B1209" s="55"/>
      <c r="C1209" s="55"/>
      <c r="F1209" s="66"/>
      <c r="G1209" s="236"/>
      <c r="I1209" s="145"/>
      <c r="J1209" s="148"/>
      <c r="K1209" s="149"/>
    </row>
    <row r="1210" spans="2:11" s="17" customFormat="1" x14ac:dyDescent="0.25">
      <c r="B1210" s="55"/>
      <c r="C1210" s="55"/>
      <c r="F1210" s="66"/>
      <c r="G1210" s="236"/>
      <c r="I1210" s="145"/>
      <c r="J1210" s="148"/>
      <c r="K1210" s="149"/>
    </row>
    <row r="1211" spans="2:11" s="17" customFormat="1" x14ac:dyDescent="0.25">
      <c r="B1211" s="55"/>
      <c r="C1211" s="55"/>
      <c r="F1211" s="66"/>
      <c r="G1211" s="236"/>
      <c r="I1211" s="145"/>
      <c r="J1211" s="148"/>
      <c r="K1211" s="149"/>
    </row>
    <row r="1212" spans="2:11" s="17" customFormat="1" x14ac:dyDescent="0.25">
      <c r="B1212" s="55"/>
      <c r="C1212" s="55"/>
      <c r="F1212" s="66"/>
      <c r="G1212" s="236"/>
      <c r="I1212" s="145"/>
      <c r="J1212" s="148"/>
      <c r="K1212" s="149"/>
    </row>
    <row r="1213" spans="2:11" s="17" customFormat="1" x14ac:dyDescent="0.25">
      <c r="B1213" s="55"/>
      <c r="C1213" s="55"/>
      <c r="F1213" s="66"/>
      <c r="G1213" s="236"/>
      <c r="I1213" s="145"/>
      <c r="J1213" s="148"/>
      <c r="K1213" s="149"/>
    </row>
    <row r="1214" spans="2:11" s="17" customFormat="1" x14ac:dyDescent="0.25">
      <c r="B1214" s="55"/>
      <c r="C1214" s="55"/>
      <c r="F1214" s="66"/>
      <c r="G1214" s="236"/>
      <c r="I1214" s="145"/>
      <c r="J1214" s="148"/>
      <c r="K1214" s="149"/>
    </row>
    <row r="1215" spans="2:11" s="17" customFormat="1" x14ac:dyDescent="0.25">
      <c r="B1215" s="55"/>
      <c r="C1215" s="55"/>
      <c r="F1215" s="66"/>
      <c r="G1215" s="236"/>
      <c r="I1215" s="145"/>
      <c r="J1215" s="148"/>
      <c r="K1215" s="149"/>
    </row>
    <row r="1216" spans="2:11" s="17" customFormat="1" x14ac:dyDescent="0.25">
      <c r="B1216" s="55"/>
      <c r="C1216" s="55"/>
      <c r="F1216" s="66"/>
      <c r="G1216" s="236"/>
      <c r="I1216" s="145"/>
      <c r="J1216" s="148"/>
      <c r="K1216" s="149"/>
    </row>
    <row r="1217" spans="2:11" s="17" customFormat="1" x14ac:dyDescent="0.25">
      <c r="B1217" s="55"/>
      <c r="C1217" s="55"/>
      <c r="F1217" s="66"/>
      <c r="G1217" s="236"/>
      <c r="I1217" s="145"/>
      <c r="J1217" s="148"/>
      <c r="K1217" s="149"/>
    </row>
    <row r="1218" spans="2:11" s="17" customFormat="1" x14ac:dyDescent="0.25">
      <c r="B1218" s="55"/>
      <c r="C1218" s="55"/>
      <c r="F1218" s="66"/>
      <c r="G1218" s="236"/>
      <c r="I1218" s="145"/>
      <c r="J1218" s="148"/>
      <c r="K1218" s="149"/>
    </row>
    <row r="1219" spans="2:11" s="17" customFormat="1" x14ac:dyDescent="0.25">
      <c r="B1219" s="55"/>
      <c r="C1219" s="55"/>
      <c r="F1219" s="66"/>
      <c r="G1219" s="236"/>
      <c r="I1219" s="145"/>
      <c r="J1219" s="148"/>
      <c r="K1219" s="149"/>
    </row>
    <row r="1220" spans="2:11" s="17" customFormat="1" x14ac:dyDescent="0.25">
      <c r="B1220" s="55"/>
      <c r="C1220" s="55"/>
      <c r="F1220" s="66"/>
      <c r="G1220" s="236"/>
      <c r="I1220" s="145"/>
      <c r="J1220" s="148"/>
      <c r="K1220" s="149"/>
    </row>
    <row r="1221" spans="2:11" s="17" customFormat="1" x14ac:dyDescent="0.25">
      <c r="B1221" s="55"/>
      <c r="C1221" s="55"/>
      <c r="F1221" s="66"/>
      <c r="G1221" s="236"/>
      <c r="I1221" s="145"/>
      <c r="J1221" s="148"/>
      <c r="K1221" s="149"/>
    </row>
    <row r="1222" spans="2:11" s="17" customFormat="1" x14ac:dyDescent="0.25">
      <c r="B1222" s="55"/>
      <c r="C1222" s="55"/>
      <c r="F1222" s="66"/>
      <c r="G1222" s="236"/>
      <c r="I1222" s="145"/>
      <c r="J1222" s="148"/>
      <c r="K1222" s="149"/>
    </row>
    <row r="1223" spans="2:11" s="17" customFormat="1" x14ac:dyDescent="0.25">
      <c r="B1223" s="55"/>
      <c r="C1223" s="55"/>
      <c r="F1223" s="66"/>
      <c r="G1223" s="236"/>
      <c r="I1223" s="145"/>
      <c r="J1223" s="148"/>
      <c r="K1223" s="149"/>
    </row>
    <row r="1224" spans="2:11" s="17" customFormat="1" x14ac:dyDescent="0.25">
      <c r="B1224" s="55"/>
      <c r="C1224" s="55"/>
      <c r="F1224" s="66"/>
      <c r="G1224" s="236"/>
      <c r="I1224" s="145"/>
      <c r="J1224" s="148"/>
      <c r="K1224" s="149"/>
    </row>
    <row r="1225" spans="2:11" s="17" customFormat="1" x14ac:dyDescent="0.25">
      <c r="B1225" s="55"/>
      <c r="C1225" s="55"/>
      <c r="F1225" s="66"/>
      <c r="G1225" s="236"/>
      <c r="I1225" s="145"/>
      <c r="J1225" s="148"/>
      <c r="K1225" s="149"/>
    </row>
    <row r="1226" spans="2:11" s="17" customFormat="1" x14ac:dyDescent="0.25">
      <c r="B1226" s="55"/>
      <c r="C1226" s="55"/>
      <c r="F1226" s="66"/>
      <c r="G1226" s="236"/>
      <c r="I1226" s="145"/>
      <c r="J1226" s="148"/>
      <c r="K1226" s="149"/>
    </row>
    <row r="1227" spans="2:11" s="17" customFormat="1" x14ac:dyDescent="0.25">
      <c r="B1227" s="55"/>
      <c r="C1227" s="55"/>
      <c r="F1227" s="66"/>
      <c r="G1227" s="236"/>
      <c r="I1227" s="145"/>
      <c r="J1227" s="148"/>
      <c r="K1227" s="149"/>
    </row>
    <row r="1228" spans="2:11" s="17" customFormat="1" x14ac:dyDescent="0.25">
      <c r="B1228" s="55"/>
      <c r="C1228" s="55"/>
      <c r="F1228" s="66"/>
      <c r="G1228" s="236"/>
      <c r="I1228" s="145"/>
      <c r="J1228" s="148"/>
      <c r="K1228" s="149"/>
    </row>
    <row r="1229" spans="2:11" s="17" customFormat="1" x14ac:dyDescent="0.25">
      <c r="B1229" s="55"/>
      <c r="C1229" s="55"/>
      <c r="F1229" s="66"/>
      <c r="G1229" s="236"/>
      <c r="I1229" s="145"/>
      <c r="J1229" s="148"/>
      <c r="K1229" s="149"/>
    </row>
    <row r="1230" spans="2:11" s="17" customFormat="1" x14ac:dyDescent="0.25">
      <c r="B1230" s="55"/>
      <c r="C1230" s="55"/>
      <c r="F1230" s="66"/>
      <c r="G1230" s="236"/>
      <c r="I1230" s="145"/>
      <c r="J1230" s="148"/>
      <c r="K1230" s="149"/>
    </row>
    <row r="1231" spans="2:11" s="17" customFormat="1" x14ac:dyDescent="0.25">
      <c r="B1231" s="55"/>
      <c r="C1231" s="55"/>
      <c r="F1231" s="66"/>
      <c r="G1231" s="236"/>
      <c r="I1231" s="145"/>
      <c r="J1231" s="148"/>
      <c r="K1231" s="149"/>
    </row>
    <row r="1232" spans="2:11" s="17" customFormat="1" x14ac:dyDescent="0.25">
      <c r="B1232" s="55"/>
      <c r="C1232" s="55"/>
      <c r="F1232" s="66"/>
      <c r="G1232" s="236"/>
      <c r="I1232" s="145"/>
      <c r="J1232" s="148"/>
      <c r="K1232" s="149"/>
    </row>
    <row r="1233" spans="2:11" s="17" customFormat="1" x14ac:dyDescent="0.25">
      <c r="B1233" s="55"/>
      <c r="C1233" s="55"/>
      <c r="F1233" s="66"/>
      <c r="G1233" s="236"/>
      <c r="I1233" s="145"/>
      <c r="J1233" s="148"/>
      <c r="K1233" s="149"/>
    </row>
    <row r="1234" spans="2:11" s="17" customFormat="1" x14ac:dyDescent="0.25">
      <c r="B1234" s="55"/>
      <c r="C1234" s="55"/>
      <c r="F1234" s="66"/>
      <c r="G1234" s="236"/>
      <c r="I1234" s="145"/>
      <c r="J1234" s="148"/>
      <c r="K1234" s="149"/>
    </row>
    <row r="1235" spans="2:11" s="17" customFormat="1" x14ac:dyDescent="0.25">
      <c r="B1235" s="55"/>
      <c r="C1235" s="55"/>
      <c r="F1235" s="66"/>
      <c r="G1235" s="236"/>
      <c r="I1235" s="145"/>
      <c r="J1235" s="148"/>
      <c r="K1235" s="149"/>
    </row>
    <row r="1236" spans="2:11" s="17" customFormat="1" x14ac:dyDescent="0.25">
      <c r="B1236" s="55"/>
      <c r="C1236" s="55"/>
      <c r="F1236" s="66"/>
      <c r="G1236" s="236"/>
      <c r="I1236" s="145"/>
      <c r="J1236" s="148"/>
      <c r="K1236" s="149"/>
    </row>
    <row r="1237" spans="2:11" s="17" customFormat="1" x14ac:dyDescent="0.25">
      <c r="B1237" s="55"/>
      <c r="C1237" s="55"/>
      <c r="F1237" s="66"/>
      <c r="G1237" s="236"/>
      <c r="I1237" s="145"/>
      <c r="J1237" s="148"/>
      <c r="K1237" s="149"/>
    </row>
    <row r="1238" spans="2:11" s="17" customFormat="1" x14ac:dyDescent="0.25">
      <c r="B1238" s="55"/>
      <c r="C1238" s="55"/>
      <c r="F1238" s="66"/>
      <c r="G1238" s="236"/>
      <c r="I1238" s="145"/>
      <c r="J1238" s="148"/>
      <c r="K1238" s="149"/>
    </row>
    <row r="1239" spans="2:11" s="17" customFormat="1" x14ac:dyDescent="0.25">
      <c r="B1239" s="55"/>
      <c r="C1239" s="55"/>
      <c r="F1239" s="66"/>
      <c r="G1239" s="236"/>
      <c r="I1239" s="145"/>
      <c r="J1239" s="148"/>
      <c r="K1239" s="149"/>
    </row>
    <row r="1240" spans="2:11" s="17" customFormat="1" x14ac:dyDescent="0.25">
      <c r="B1240" s="55"/>
      <c r="C1240" s="55"/>
      <c r="F1240" s="66"/>
      <c r="G1240" s="236"/>
      <c r="I1240" s="145"/>
      <c r="J1240" s="148"/>
      <c r="K1240" s="149"/>
    </row>
    <row r="1241" spans="2:11" s="17" customFormat="1" x14ac:dyDescent="0.25">
      <c r="B1241" s="55"/>
      <c r="C1241" s="55"/>
      <c r="F1241" s="66"/>
      <c r="G1241" s="236"/>
      <c r="I1241" s="145"/>
      <c r="J1241" s="148"/>
      <c r="K1241" s="149"/>
    </row>
    <row r="1242" spans="2:11" s="17" customFormat="1" x14ac:dyDescent="0.25">
      <c r="B1242" s="55"/>
      <c r="C1242" s="55"/>
      <c r="F1242" s="66"/>
      <c r="G1242" s="236"/>
      <c r="I1242" s="145"/>
      <c r="J1242" s="148"/>
      <c r="K1242" s="149"/>
    </row>
    <row r="1243" spans="2:11" s="17" customFormat="1" x14ac:dyDescent="0.25">
      <c r="B1243" s="55"/>
      <c r="C1243" s="55"/>
      <c r="F1243" s="66"/>
      <c r="G1243" s="236"/>
      <c r="I1243" s="145"/>
      <c r="J1243" s="148"/>
      <c r="K1243" s="149"/>
    </row>
    <row r="1244" spans="2:11" s="17" customFormat="1" x14ac:dyDescent="0.25">
      <c r="B1244" s="55"/>
      <c r="C1244" s="55"/>
      <c r="F1244" s="66"/>
      <c r="G1244" s="236"/>
      <c r="I1244" s="145"/>
      <c r="J1244" s="148"/>
      <c r="K1244" s="149"/>
    </row>
    <row r="1245" spans="2:11" s="17" customFormat="1" x14ac:dyDescent="0.25">
      <c r="B1245" s="55"/>
      <c r="C1245" s="55"/>
      <c r="F1245" s="66"/>
      <c r="G1245" s="236"/>
      <c r="I1245" s="145"/>
      <c r="J1245" s="148"/>
      <c r="K1245" s="149"/>
    </row>
    <row r="1246" spans="2:11" s="17" customFormat="1" x14ac:dyDescent="0.25">
      <c r="B1246" s="55"/>
      <c r="C1246" s="55"/>
      <c r="F1246" s="66"/>
      <c r="G1246" s="236"/>
      <c r="I1246" s="145"/>
      <c r="J1246" s="148"/>
      <c r="K1246" s="149"/>
    </row>
    <row r="1247" spans="2:11" s="17" customFormat="1" x14ac:dyDescent="0.25">
      <c r="B1247" s="55"/>
      <c r="C1247" s="55"/>
      <c r="F1247" s="66"/>
      <c r="G1247" s="236"/>
      <c r="I1247" s="145"/>
      <c r="J1247" s="148"/>
      <c r="K1247" s="149"/>
    </row>
    <row r="1248" spans="2:11" s="17" customFormat="1" x14ac:dyDescent="0.25">
      <c r="B1248" s="55"/>
      <c r="C1248" s="55"/>
      <c r="F1248" s="66"/>
      <c r="G1248" s="236"/>
      <c r="I1248" s="145"/>
      <c r="J1248" s="148"/>
      <c r="K1248" s="149"/>
    </row>
    <row r="1249" spans="2:11" s="17" customFormat="1" x14ac:dyDescent="0.25">
      <c r="B1249" s="55"/>
      <c r="C1249" s="55"/>
      <c r="F1249" s="66"/>
      <c r="G1249" s="236"/>
      <c r="I1249" s="145"/>
      <c r="J1249" s="148"/>
      <c r="K1249" s="149"/>
    </row>
    <row r="1250" spans="2:11" s="17" customFormat="1" x14ac:dyDescent="0.25">
      <c r="B1250" s="55"/>
      <c r="C1250" s="55"/>
      <c r="F1250" s="66"/>
      <c r="G1250" s="236"/>
      <c r="I1250" s="145"/>
      <c r="J1250" s="148"/>
      <c r="K1250" s="149"/>
    </row>
    <row r="1251" spans="2:11" s="17" customFormat="1" x14ac:dyDescent="0.25">
      <c r="B1251" s="55"/>
      <c r="C1251" s="55"/>
      <c r="F1251" s="66"/>
      <c r="G1251" s="236"/>
      <c r="I1251" s="145"/>
      <c r="J1251" s="148"/>
      <c r="K1251" s="149"/>
    </row>
    <row r="1252" spans="2:11" s="17" customFormat="1" x14ac:dyDescent="0.25">
      <c r="B1252" s="55"/>
      <c r="C1252" s="55"/>
      <c r="F1252" s="66"/>
      <c r="G1252" s="236"/>
      <c r="I1252" s="145"/>
      <c r="J1252" s="148"/>
      <c r="K1252" s="149"/>
    </row>
    <row r="1253" spans="2:11" s="17" customFormat="1" x14ac:dyDescent="0.25">
      <c r="B1253" s="55"/>
      <c r="C1253" s="55"/>
      <c r="F1253" s="66"/>
      <c r="G1253" s="236"/>
      <c r="I1253" s="145"/>
      <c r="J1253" s="148"/>
      <c r="K1253" s="149"/>
    </row>
    <row r="1254" spans="2:11" s="17" customFormat="1" x14ac:dyDescent="0.25">
      <c r="B1254" s="55"/>
      <c r="C1254" s="55"/>
      <c r="F1254" s="66"/>
      <c r="G1254" s="236"/>
      <c r="I1254" s="145"/>
      <c r="J1254" s="148"/>
      <c r="K1254" s="149"/>
    </row>
    <row r="1255" spans="2:11" s="17" customFormat="1" x14ac:dyDescent="0.25">
      <c r="B1255" s="55"/>
      <c r="C1255" s="55"/>
      <c r="F1255" s="66"/>
      <c r="G1255" s="236"/>
      <c r="I1255" s="145"/>
      <c r="J1255" s="148"/>
      <c r="K1255" s="149"/>
    </row>
    <row r="1256" spans="2:11" s="17" customFormat="1" x14ac:dyDescent="0.25">
      <c r="B1256" s="55"/>
      <c r="C1256" s="55"/>
      <c r="F1256" s="66"/>
      <c r="G1256" s="236"/>
      <c r="I1256" s="145"/>
      <c r="J1256" s="148"/>
      <c r="K1256" s="149"/>
    </row>
    <row r="1257" spans="2:11" s="17" customFormat="1" x14ac:dyDescent="0.25">
      <c r="B1257" s="55"/>
      <c r="C1257" s="55"/>
      <c r="F1257" s="66"/>
      <c r="G1257" s="236"/>
      <c r="I1257" s="145"/>
      <c r="J1257" s="148"/>
      <c r="K1257" s="149"/>
    </row>
    <row r="1258" spans="2:11" s="17" customFormat="1" x14ac:dyDescent="0.25">
      <c r="B1258" s="55"/>
      <c r="C1258" s="55"/>
      <c r="F1258" s="66"/>
      <c r="G1258" s="236"/>
      <c r="I1258" s="145"/>
      <c r="J1258" s="148"/>
      <c r="K1258" s="149"/>
    </row>
    <row r="1259" spans="2:11" s="17" customFormat="1" x14ac:dyDescent="0.25">
      <c r="B1259" s="55"/>
      <c r="C1259" s="55"/>
      <c r="F1259" s="66"/>
      <c r="G1259" s="236"/>
      <c r="I1259" s="145"/>
      <c r="J1259" s="148"/>
      <c r="K1259" s="149"/>
    </row>
    <row r="1260" spans="2:11" s="17" customFormat="1" x14ac:dyDescent="0.25">
      <c r="B1260" s="55"/>
      <c r="C1260" s="55"/>
      <c r="F1260" s="66"/>
      <c r="G1260" s="236"/>
      <c r="I1260" s="145"/>
      <c r="J1260" s="148"/>
      <c r="K1260" s="149"/>
    </row>
    <row r="1261" spans="2:11" s="17" customFormat="1" x14ac:dyDescent="0.25">
      <c r="B1261" s="55"/>
      <c r="C1261" s="55"/>
      <c r="F1261" s="66"/>
      <c r="G1261" s="236"/>
      <c r="I1261" s="145"/>
      <c r="J1261" s="148"/>
      <c r="K1261" s="149"/>
    </row>
    <row r="1262" spans="2:11" s="17" customFormat="1" x14ac:dyDescent="0.25">
      <c r="B1262" s="55"/>
      <c r="C1262" s="55"/>
      <c r="F1262" s="66"/>
      <c r="G1262" s="236"/>
      <c r="I1262" s="145"/>
      <c r="J1262" s="148"/>
      <c r="K1262" s="149"/>
    </row>
    <row r="1263" spans="2:11" s="17" customFormat="1" x14ac:dyDescent="0.25">
      <c r="B1263" s="55"/>
      <c r="C1263" s="55"/>
      <c r="F1263" s="66"/>
      <c r="G1263" s="236"/>
      <c r="I1263" s="145"/>
      <c r="J1263" s="148"/>
      <c r="K1263" s="149"/>
    </row>
    <row r="1264" spans="2:11" s="17" customFormat="1" x14ac:dyDescent="0.25">
      <c r="B1264" s="55"/>
      <c r="C1264" s="55"/>
      <c r="F1264" s="66"/>
      <c r="G1264" s="236"/>
      <c r="I1264" s="145"/>
      <c r="J1264" s="148"/>
      <c r="K1264" s="149"/>
    </row>
    <row r="1265" spans="2:11" s="17" customFormat="1" x14ac:dyDescent="0.25">
      <c r="B1265" s="55"/>
      <c r="C1265" s="55"/>
      <c r="F1265" s="66"/>
      <c r="G1265" s="236"/>
      <c r="I1265" s="145"/>
      <c r="J1265" s="148"/>
      <c r="K1265" s="149"/>
    </row>
    <row r="1266" spans="2:11" s="17" customFormat="1" x14ac:dyDescent="0.25">
      <c r="B1266" s="55"/>
      <c r="C1266" s="55"/>
      <c r="F1266" s="66"/>
      <c r="G1266" s="236"/>
      <c r="I1266" s="145"/>
      <c r="J1266" s="148"/>
      <c r="K1266" s="149"/>
    </row>
    <row r="1267" spans="2:11" s="17" customFormat="1" x14ac:dyDescent="0.25">
      <c r="B1267" s="55"/>
      <c r="C1267" s="55"/>
      <c r="F1267" s="66"/>
      <c r="G1267" s="236"/>
      <c r="I1267" s="145"/>
      <c r="J1267" s="148"/>
      <c r="K1267" s="149"/>
    </row>
    <row r="1268" spans="2:11" s="17" customFormat="1" x14ac:dyDescent="0.25">
      <c r="B1268" s="55"/>
      <c r="C1268" s="55"/>
      <c r="F1268" s="66"/>
      <c r="G1268" s="236"/>
      <c r="I1268" s="145"/>
      <c r="J1268" s="148"/>
      <c r="K1268" s="149"/>
    </row>
    <row r="1269" spans="2:11" s="17" customFormat="1" x14ac:dyDescent="0.25">
      <c r="B1269" s="55"/>
      <c r="C1269" s="55"/>
      <c r="F1269" s="66"/>
      <c r="G1269" s="236"/>
      <c r="I1269" s="145"/>
      <c r="J1269" s="148"/>
      <c r="K1269" s="149"/>
    </row>
    <row r="1270" spans="2:11" s="17" customFormat="1" x14ac:dyDescent="0.25">
      <c r="B1270" s="55"/>
      <c r="C1270" s="55"/>
      <c r="F1270" s="66"/>
      <c r="G1270" s="236"/>
      <c r="I1270" s="145"/>
      <c r="J1270" s="148"/>
      <c r="K1270" s="149"/>
    </row>
    <row r="1271" spans="2:11" s="17" customFormat="1" x14ac:dyDescent="0.25">
      <c r="B1271" s="55"/>
      <c r="C1271" s="55"/>
      <c r="F1271" s="66"/>
      <c r="G1271" s="236"/>
      <c r="I1271" s="145"/>
      <c r="J1271" s="148"/>
      <c r="K1271" s="149"/>
    </row>
    <row r="1272" spans="2:11" s="17" customFormat="1" x14ac:dyDescent="0.25">
      <c r="B1272" s="55"/>
      <c r="C1272" s="55"/>
      <c r="F1272" s="66"/>
      <c r="G1272" s="236"/>
      <c r="I1272" s="145"/>
      <c r="J1272" s="148"/>
      <c r="K1272" s="149"/>
    </row>
    <row r="1273" spans="2:11" s="17" customFormat="1" x14ac:dyDescent="0.25">
      <c r="B1273" s="55"/>
      <c r="C1273" s="55"/>
      <c r="F1273" s="66"/>
      <c r="G1273" s="236"/>
      <c r="I1273" s="145"/>
      <c r="J1273" s="148"/>
      <c r="K1273" s="149"/>
    </row>
    <row r="1274" spans="2:11" s="17" customFormat="1" x14ac:dyDescent="0.25">
      <c r="B1274" s="55"/>
      <c r="C1274" s="55"/>
      <c r="F1274" s="66"/>
      <c r="G1274" s="236"/>
      <c r="I1274" s="145"/>
      <c r="J1274" s="148"/>
      <c r="K1274" s="149"/>
    </row>
    <row r="1275" spans="2:11" s="17" customFormat="1" x14ac:dyDescent="0.25">
      <c r="B1275" s="55"/>
      <c r="C1275" s="55"/>
      <c r="F1275" s="66"/>
      <c r="G1275" s="236"/>
      <c r="I1275" s="145"/>
      <c r="J1275" s="148"/>
      <c r="K1275" s="149"/>
    </row>
    <row r="1276" spans="2:11" s="17" customFormat="1" x14ac:dyDescent="0.25">
      <c r="B1276" s="55"/>
      <c r="C1276" s="55"/>
      <c r="F1276" s="66"/>
      <c r="G1276" s="236"/>
      <c r="I1276" s="145"/>
      <c r="J1276" s="148"/>
      <c r="K1276" s="149"/>
    </row>
    <row r="1277" spans="2:11" s="17" customFormat="1" x14ac:dyDescent="0.25">
      <c r="B1277" s="55"/>
      <c r="C1277" s="55"/>
      <c r="F1277" s="66"/>
      <c r="G1277" s="236"/>
      <c r="I1277" s="145"/>
      <c r="J1277" s="148"/>
      <c r="K1277" s="149"/>
    </row>
    <row r="1278" spans="2:11" s="17" customFormat="1" x14ac:dyDescent="0.25">
      <c r="B1278" s="55"/>
      <c r="C1278" s="55"/>
      <c r="F1278" s="66"/>
      <c r="G1278" s="236"/>
      <c r="I1278" s="145"/>
      <c r="J1278" s="148"/>
      <c r="K1278" s="149"/>
    </row>
    <row r="1279" spans="2:11" s="17" customFormat="1" x14ac:dyDescent="0.25">
      <c r="B1279" s="55"/>
      <c r="C1279" s="55"/>
      <c r="F1279" s="66"/>
      <c r="G1279" s="236"/>
      <c r="I1279" s="145"/>
      <c r="J1279" s="148"/>
      <c r="K1279" s="149"/>
    </row>
    <row r="1280" spans="2:11" s="17" customFormat="1" x14ac:dyDescent="0.25">
      <c r="B1280" s="55"/>
      <c r="C1280" s="55"/>
      <c r="F1280" s="66"/>
      <c r="G1280" s="236"/>
      <c r="I1280" s="145"/>
      <c r="J1280" s="148"/>
      <c r="K1280" s="149"/>
    </row>
    <row r="1281" spans="2:11" s="17" customFormat="1" x14ac:dyDescent="0.25">
      <c r="B1281" s="55"/>
      <c r="C1281" s="55"/>
      <c r="F1281" s="66"/>
      <c r="G1281" s="236"/>
      <c r="I1281" s="145"/>
      <c r="J1281" s="148"/>
      <c r="K1281" s="149"/>
    </row>
    <row r="1282" spans="2:11" s="17" customFormat="1" x14ac:dyDescent="0.25">
      <c r="B1282" s="55"/>
      <c r="C1282" s="55"/>
      <c r="F1282" s="66"/>
      <c r="G1282" s="236"/>
      <c r="I1282" s="145"/>
      <c r="J1282" s="148"/>
      <c r="K1282" s="149"/>
    </row>
    <row r="1283" spans="2:11" s="17" customFormat="1" x14ac:dyDescent="0.25">
      <c r="B1283" s="55"/>
      <c r="C1283" s="55"/>
      <c r="F1283" s="66"/>
      <c r="G1283" s="236"/>
      <c r="I1283" s="145"/>
      <c r="J1283" s="148"/>
      <c r="K1283" s="149"/>
    </row>
    <row r="1284" spans="2:11" s="17" customFormat="1" x14ac:dyDescent="0.25">
      <c r="B1284" s="55"/>
      <c r="C1284" s="55"/>
      <c r="F1284" s="66"/>
      <c r="G1284" s="236"/>
      <c r="I1284" s="145"/>
      <c r="J1284" s="148"/>
      <c r="K1284" s="149"/>
    </row>
    <row r="1285" spans="2:11" s="17" customFormat="1" x14ac:dyDescent="0.25">
      <c r="B1285" s="55"/>
      <c r="C1285" s="55"/>
      <c r="F1285" s="66"/>
      <c r="G1285" s="236"/>
      <c r="I1285" s="145"/>
      <c r="J1285" s="148"/>
      <c r="K1285" s="149"/>
    </row>
    <row r="1286" spans="2:11" s="17" customFormat="1" x14ac:dyDescent="0.25">
      <c r="B1286" s="55"/>
      <c r="C1286" s="55"/>
      <c r="F1286" s="66"/>
      <c r="G1286" s="236"/>
      <c r="I1286" s="145"/>
      <c r="J1286" s="148"/>
      <c r="K1286" s="149"/>
    </row>
    <row r="1287" spans="2:11" s="17" customFormat="1" x14ac:dyDescent="0.25">
      <c r="B1287" s="55"/>
      <c r="C1287" s="55"/>
      <c r="F1287" s="66"/>
      <c r="G1287" s="236"/>
      <c r="I1287" s="145"/>
      <c r="J1287" s="148"/>
      <c r="K1287" s="149"/>
    </row>
    <row r="1288" spans="2:11" s="17" customFormat="1" x14ac:dyDescent="0.25">
      <c r="B1288" s="55"/>
      <c r="C1288" s="55"/>
      <c r="F1288" s="66"/>
      <c r="G1288" s="236"/>
      <c r="I1288" s="145"/>
      <c r="J1288" s="148"/>
      <c r="K1288" s="149"/>
    </row>
    <row r="1289" spans="2:11" s="17" customFormat="1" x14ac:dyDescent="0.25">
      <c r="B1289" s="55"/>
      <c r="C1289" s="55"/>
      <c r="F1289" s="66"/>
      <c r="G1289" s="236"/>
      <c r="I1289" s="145"/>
      <c r="J1289" s="148"/>
      <c r="K1289" s="149"/>
    </row>
    <row r="1290" spans="2:11" s="17" customFormat="1" x14ac:dyDescent="0.25">
      <c r="B1290" s="55"/>
      <c r="C1290" s="55"/>
      <c r="F1290" s="66"/>
      <c r="G1290" s="236"/>
      <c r="I1290" s="145"/>
      <c r="J1290" s="148"/>
      <c r="K1290" s="149"/>
    </row>
    <row r="1291" spans="2:11" s="17" customFormat="1" x14ac:dyDescent="0.25">
      <c r="B1291" s="55"/>
      <c r="C1291" s="55"/>
      <c r="F1291" s="66"/>
      <c r="G1291" s="236"/>
      <c r="I1291" s="145"/>
      <c r="J1291" s="148"/>
      <c r="K1291" s="149"/>
    </row>
    <row r="1292" spans="2:11" s="17" customFormat="1" x14ac:dyDescent="0.25">
      <c r="B1292" s="55"/>
      <c r="C1292" s="55"/>
      <c r="F1292" s="66"/>
      <c r="G1292" s="236"/>
      <c r="I1292" s="145"/>
      <c r="J1292" s="148"/>
      <c r="K1292" s="149"/>
    </row>
    <row r="1293" spans="2:11" s="17" customFormat="1" x14ac:dyDescent="0.25">
      <c r="B1293" s="55"/>
      <c r="C1293" s="55"/>
      <c r="F1293" s="66"/>
      <c r="G1293" s="236"/>
      <c r="I1293" s="145"/>
      <c r="J1293" s="148"/>
      <c r="K1293" s="149"/>
    </row>
    <row r="1294" spans="2:11" s="17" customFormat="1" x14ac:dyDescent="0.25">
      <c r="B1294" s="55"/>
      <c r="C1294" s="55"/>
      <c r="F1294" s="66"/>
      <c r="G1294" s="236"/>
      <c r="I1294" s="145"/>
      <c r="J1294" s="148"/>
      <c r="K1294" s="149"/>
    </row>
    <row r="1295" spans="2:11" s="17" customFormat="1" x14ac:dyDescent="0.25">
      <c r="B1295" s="55"/>
      <c r="C1295" s="55"/>
      <c r="F1295" s="66"/>
      <c r="G1295" s="236"/>
      <c r="I1295" s="145"/>
      <c r="J1295" s="148"/>
      <c r="K1295" s="149"/>
    </row>
    <row r="1296" spans="2:11" s="17" customFormat="1" x14ac:dyDescent="0.25">
      <c r="B1296" s="55"/>
      <c r="C1296" s="55"/>
      <c r="F1296" s="66"/>
      <c r="G1296" s="236"/>
      <c r="I1296" s="145"/>
      <c r="J1296" s="148"/>
      <c r="K1296" s="149"/>
    </row>
    <row r="1297" spans="2:11" s="17" customFormat="1" x14ac:dyDescent="0.25">
      <c r="B1297" s="55"/>
      <c r="C1297" s="55"/>
      <c r="F1297" s="66"/>
      <c r="G1297" s="236"/>
      <c r="I1297" s="145"/>
      <c r="J1297" s="148"/>
      <c r="K1297" s="149"/>
    </row>
    <row r="1298" spans="2:11" s="17" customFormat="1" x14ac:dyDescent="0.25">
      <c r="B1298" s="55"/>
      <c r="C1298" s="55"/>
      <c r="F1298" s="66"/>
      <c r="G1298" s="236"/>
      <c r="I1298" s="145"/>
      <c r="J1298" s="148"/>
      <c r="K1298" s="149"/>
    </row>
    <row r="1299" spans="2:11" s="17" customFormat="1" x14ac:dyDescent="0.25">
      <c r="B1299" s="55"/>
      <c r="C1299" s="55"/>
      <c r="F1299" s="66"/>
      <c r="G1299" s="236"/>
      <c r="I1299" s="145"/>
      <c r="J1299" s="148"/>
      <c r="K1299" s="149"/>
    </row>
    <row r="1300" spans="2:11" s="17" customFormat="1" x14ac:dyDescent="0.25">
      <c r="B1300" s="55"/>
      <c r="C1300" s="55"/>
      <c r="F1300" s="66"/>
      <c r="G1300" s="236"/>
      <c r="I1300" s="145"/>
      <c r="J1300" s="148"/>
      <c r="K1300" s="149"/>
    </row>
    <row r="1301" spans="2:11" s="17" customFormat="1" x14ac:dyDescent="0.25">
      <c r="B1301" s="55"/>
      <c r="C1301" s="55"/>
      <c r="F1301" s="66"/>
      <c r="G1301" s="236"/>
      <c r="I1301" s="145"/>
      <c r="J1301" s="148"/>
      <c r="K1301" s="149"/>
    </row>
    <row r="1302" spans="2:11" s="17" customFormat="1" x14ac:dyDescent="0.25">
      <c r="B1302" s="55"/>
      <c r="C1302" s="55"/>
      <c r="F1302" s="66"/>
      <c r="G1302" s="236"/>
      <c r="I1302" s="145"/>
      <c r="J1302" s="148"/>
      <c r="K1302" s="149"/>
    </row>
    <row r="1303" spans="2:11" s="17" customFormat="1" x14ac:dyDescent="0.25">
      <c r="B1303" s="55"/>
      <c r="C1303" s="55"/>
      <c r="F1303" s="66"/>
      <c r="G1303" s="236"/>
      <c r="I1303" s="145"/>
      <c r="J1303" s="148"/>
      <c r="K1303" s="149"/>
    </row>
    <row r="1304" spans="2:11" s="17" customFormat="1" x14ac:dyDescent="0.25">
      <c r="B1304" s="55"/>
      <c r="C1304" s="55"/>
      <c r="F1304" s="66"/>
      <c r="G1304" s="236"/>
      <c r="I1304" s="145"/>
      <c r="J1304" s="148"/>
      <c r="K1304" s="149"/>
    </row>
    <row r="1305" spans="2:11" s="17" customFormat="1" x14ac:dyDescent="0.25">
      <c r="B1305" s="55"/>
      <c r="C1305" s="55"/>
      <c r="F1305" s="66"/>
      <c r="G1305" s="236"/>
      <c r="I1305" s="145"/>
      <c r="J1305" s="148"/>
      <c r="K1305" s="149"/>
    </row>
    <row r="1306" spans="2:11" s="17" customFormat="1" x14ac:dyDescent="0.25">
      <c r="B1306" s="55"/>
      <c r="C1306" s="55"/>
      <c r="F1306" s="66"/>
      <c r="G1306" s="236"/>
      <c r="I1306" s="145"/>
      <c r="J1306" s="148"/>
      <c r="K1306" s="149"/>
    </row>
    <row r="1307" spans="2:11" s="17" customFormat="1" x14ac:dyDescent="0.25">
      <c r="B1307" s="55"/>
      <c r="C1307" s="55"/>
      <c r="F1307" s="66"/>
      <c r="G1307" s="236"/>
      <c r="I1307" s="145"/>
      <c r="J1307" s="148"/>
      <c r="K1307" s="149"/>
    </row>
    <row r="1308" spans="2:11" s="17" customFormat="1" x14ac:dyDescent="0.25">
      <c r="B1308" s="55"/>
      <c r="C1308" s="55"/>
      <c r="F1308" s="66"/>
      <c r="G1308" s="236"/>
      <c r="I1308" s="145"/>
      <c r="J1308" s="148"/>
      <c r="K1308" s="149"/>
    </row>
    <row r="1309" spans="2:11" s="17" customFormat="1" x14ac:dyDescent="0.25">
      <c r="B1309" s="55"/>
      <c r="C1309" s="55"/>
      <c r="F1309" s="66"/>
      <c r="G1309" s="236"/>
      <c r="I1309" s="145"/>
      <c r="J1309" s="148"/>
      <c r="K1309" s="149"/>
    </row>
    <row r="1310" spans="2:11" s="17" customFormat="1" x14ac:dyDescent="0.25">
      <c r="B1310" s="55"/>
      <c r="C1310" s="55"/>
      <c r="F1310" s="66"/>
      <c r="G1310" s="236"/>
      <c r="I1310" s="145"/>
      <c r="J1310" s="148"/>
      <c r="K1310" s="149"/>
    </row>
    <row r="1311" spans="2:11" s="17" customFormat="1" x14ac:dyDescent="0.25">
      <c r="B1311" s="55"/>
      <c r="C1311" s="55"/>
      <c r="F1311" s="66"/>
      <c r="G1311" s="236"/>
      <c r="I1311" s="145"/>
      <c r="J1311" s="148"/>
      <c r="K1311" s="149"/>
    </row>
    <row r="1312" spans="2:11" s="17" customFormat="1" x14ac:dyDescent="0.25">
      <c r="B1312" s="55"/>
      <c r="C1312" s="55"/>
      <c r="F1312" s="66"/>
      <c r="G1312" s="236"/>
      <c r="I1312" s="145"/>
      <c r="J1312" s="148"/>
      <c r="K1312" s="149"/>
    </row>
    <row r="1313" spans="2:11" s="17" customFormat="1" x14ac:dyDescent="0.25">
      <c r="B1313" s="55"/>
      <c r="C1313" s="55"/>
      <c r="F1313" s="66"/>
      <c r="G1313" s="236"/>
      <c r="I1313" s="145"/>
      <c r="J1313" s="148"/>
      <c r="K1313" s="149"/>
    </row>
    <row r="1314" spans="2:11" s="17" customFormat="1" x14ac:dyDescent="0.25">
      <c r="B1314" s="55"/>
      <c r="C1314" s="55"/>
      <c r="F1314" s="66"/>
      <c r="G1314" s="236"/>
      <c r="I1314" s="145"/>
      <c r="J1314" s="148"/>
      <c r="K1314" s="149"/>
    </row>
    <row r="1315" spans="2:11" s="17" customFormat="1" x14ac:dyDescent="0.25">
      <c r="B1315" s="55"/>
      <c r="C1315" s="55"/>
      <c r="F1315" s="66"/>
      <c r="G1315" s="236"/>
      <c r="I1315" s="145"/>
      <c r="J1315" s="148"/>
      <c r="K1315" s="149"/>
    </row>
    <row r="1316" spans="2:11" s="17" customFormat="1" x14ac:dyDescent="0.25">
      <c r="B1316" s="55"/>
      <c r="C1316" s="55"/>
      <c r="F1316" s="66"/>
      <c r="G1316" s="236"/>
      <c r="I1316" s="145"/>
      <c r="J1316" s="148"/>
      <c r="K1316" s="149"/>
    </row>
    <row r="1317" spans="2:11" s="17" customFormat="1" x14ac:dyDescent="0.25">
      <c r="B1317" s="55"/>
      <c r="C1317" s="55"/>
      <c r="F1317" s="66"/>
      <c r="G1317" s="236"/>
      <c r="I1317" s="145"/>
      <c r="J1317" s="148"/>
      <c r="K1317" s="149"/>
    </row>
    <row r="1318" spans="2:11" s="17" customFormat="1" x14ac:dyDescent="0.25">
      <c r="B1318" s="55"/>
      <c r="C1318" s="55"/>
      <c r="F1318" s="66"/>
      <c r="G1318" s="236"/>
      <c r="I1318" s="145"/>
      <c r="J1318" s="148"/>
      <c r="K1318" s="149"/>
    </row>
    <row r="1319" spans="2:11" s="17" customFormat="1" x14ac:dyDescent="0.25">
      <c r="B1319" s="55"/>
      <c r="C1319" s="55"/>
      <c r="F1319" s="66"/>
      <c r="G1319" s="236"/>
      <c r="I1319" s="145"/>
      <c r="J1319" s="148"/>
      <c r="K1319" s="149"/>
    </row>
    <row r="1320" spans="2:11" s="17" customFormat="1" x14ac:dyDescent="0.25">
      <c r="B1320" s="55"/>
      <c r="C1320" s="55"/>
      <c r="F1320" s="66"/>
      <c r="G1320" s="236"/>
      <c r="I1320" s="145"/>
      <c r="J1320" s="148"/>
      <c r="K1320" s="149"/>
    </row>
    <row r="1321" spans="2:11" s="17" customFormat="1" x14ac:dyDescent="0.25">
      <c r="B1321" s="55"/>
      <c r="C1321" s="55"/>
      <c r="F1321" s="66"/>
      <c r="G1321" s="236"/>
      <c r="I1321" s="145"/>
      <c r="J1321" s="148"/>
      <c r="K1321" s="149"/>
    </row>
    <row r="1322" spans="2:11" s="17" customFormat="1" x14ac:dyDescent="0.25">
      <c r="B1322" s="55"/>
      <c r="C1322" s="55"/>
      <c r="F1322" s="66"/>
      <c r="G1322" s="236"/>
      <c r="I1322" s="145"/>
      <c r="J1322" s="148"/>
      <c r="K1322" s="149"/>
    </row>
    <row r="1323" spans="2:11" s="17" customFormat="1" x14ac:dyDescent="0.25">
      <c r="B1323" s="55"/>
      <c r="C1323" s="55"/>
      <c r="F1323" s="66"/>
      <c r="G1323" s="236"/>
      <c r="I1323" s="145"/>
      <c r="J1323" s="148"/>
      <c r="K1323" s="149"/>
    </row>
    <row r="1324" spans="2:11" s="17" customFormat="1" x14ac:dyDescent="0.25">
      <c r="B1324" s="55"/>
      <c r="C1324" s="55"/>
      <c r="F1324" s="66"/>
      <c r="G1324" s="236"/>
      <c r="I1324" s="145"/>
      <c r="J1324" s="148"/>
      <c r="K1324" s="149"/>
    </row>
    <row r="1325" spans="2:11" s="17" customFormat="1" x14ac:dyDescent="0.25">
      <c r="B1325" s="55"/>
      <c r="C1325" s="55"/>
      <c r="F1325" s="66"/>
      <c r="G1325" s="236"/>
      <c r="I1325" s="145"/>
      <c r="J1325" s="148"/>
      <c r="K1325" s="149"/>
    </row>
    <row r="1326" spans="2:11" s="17" customFormat="1" x14ac:dyDescent="0.25">
      <c r="B1326" s="55"/>
      <c r="C1326" s="55"/>
      <c r="F1326" s="66"/>
      <c r="G1326" s="236"/>
      <c r="I1326" s="145"/>
      <c r="J1326" s="148"/>
      <c r="K1326" s="149"/>
    </row>
    <row r="1327" spans="2:11" s="17" customFormat="1" x14ac:dyDescent="0.25">
      <c r="B1327" s="55"/>
      <c r="C1327" s="55"/>
      <c r="F1327" s="66"/>
      <c r="G1327" s="236"/>
      <c r="I1327" s="145"/>
      <c r="J1327" s="148"/>
      <c r="K1327" s="149"/>
    </row>
    <row r="1328" spans="2:11" s="17" customFormat="1" x14ac:dyDescent="0.25">
      <c r="B1328" s="55"/>
      <c r="C1328" s="55"/>
      <c r="F1328" s="66"/>
      <c r="G1328" s="236"/>
      <c r="I1328" s="145"/>
      <c r="J1328" s="148"/>
      <c r="K1328" s="149"/>
    </row>
    <row r="1329" spans="2:11" s="17" customFormat="1" x14ac:dyDescent="0.25">
      <c r="B1329" s="55"/>
      <c r="C1329" s="55"/>
      <c r="F1329" s="66"/>
      <c r="G1329" s="236"/>
      <c r="I1329" s="145"/>
      <c r="J1329" s="148"/>
      <c r="K1329" s="149"/>
    </row>
    <row r="1330" spans="2:11" s="17" customFormat="1" x14ac:dyDescent="0.25">
      <c r="B1330" s="55"/>
      <c r="C1330" s="55"/>
      <c r="F1330" s="66"/>
      <c r="G1330" s="236"/>
      <c r="I1330" s="145"/>
      <c r="J1330" s="148"/>
      <c r="K1330" s="149"/>
    </row>
    <row r="1331" spans="2:11" s="17" customFormat="1" x14ac:dyDescent="0.25">
      <c r="B1331" s="55"/>
      <c r="C1331" s="55"/>
      <c r="F1331" s="66"/>
      <c r="G1331" s="236"/>
      <c r="I1331" s="145"/>
      <c r="J1331" s="148"/>
      <c r="K1331" s="149"/>
    </row>
    <row r="1332" spans="2:11" s="17" customFormat="1" x14ac:dyDescent="0.25">
      <c r="B1332" s="55"/>
      <c r="C1332" s="55"/>
      <c r="F1332" s="66"/>
      <c r="G1332" s="236"/>
      <c r="I1332" s="145"/>
      <c r="J1332" s="148"/>
      <c r="K1332" s="149"/>
    </row>
    <row r="1333" spans="2:11" s="17" customFormat="1" x14ac:dyDescent="0.25">
      <c r="B1333" s="55"/>
      <c r="C1333" s="55"/>
      <c r="F1333" s="66"/>
      <c r="G1333" s="236"/>
      <c r="I1333" s="145"/>
      <c r="J1333" s="148"/>
      <c r="K1333" s="149"/>
    </row>
    <row r="1334" spans="2:11" s="17" customFormat="1" x14ac:dyDescent="0.25">
      <c r="B1334" s="55"/>
      <c r="C1334" s="55"/>
      <c r="F1334" s="66"/>
      <c r="G1334" s="236"/>
      <c r="I1334" s="145"/>
      <c r="J1334" s="148"/>
      <c r="K1334" s="149"/>
    </row>
    <row r="1335" spans="2:11" s="17" customFormat="1" x14ac:dyDescent="0.25">
      <c r="B1335" s="55"/>
      <c r="C1335" s="55"/>
      <c r="F1335" s="66"/>
      <c r="G1335" s="236"/>
      <c r="I1335" s="145"/>
      <c r="J1335" s="148"/>
      <c r="K1335" s="149"/>
    </row>
    <row r="1336" spans="2:11" s="17" customFormat="1" x14ac:dyDescent="0.25">
      <c r="B1336" s="55"/>
      <c r="C1336" s="55"/>
      <c r="F1336" s="66"/>
      <c r="G1336" s="236"/>
      <c r="I1336" s="145"/>
      <c r="J1336" s="148"/>
      <c r="K1336" s="149"/>
    </row>
    <row r="1337" spans="2:11" s="17" customFormat="1" x14ac:dyDescent="0.25">
      <c r="B1337" s="55"/>
      <c r="C1337" s="55"/>
      <c r="F1337" s="66"/>
      <c r="G1337" s="236"/>
      <c r="I1337" s="145"/>
      <c r="J1337" s="148"/>
      <c r="K1337" s="149"/>
    </row>
    <row r="1338" spans="2:11" s="17" customFormat="1" x14ac:dyDescent="0.25">
      <c r="B1338" s="55"/>
      <c r="C1338" s="55"/>
      <c r="F1338" s="66"/>
      <c r="G1338" s="236"/>
      <c r="I1338" s="145"/>
      <c r="J1338" s="148"/>
      <c r="K1338" s="149"/>
    </row>
    <row r="1339" spans="2:11" s="17" customFormat="1" x14ac:dyDescent="0.25">
      <c r="B1339" s="55"/>
      <c r="C1339" s="55"/>
      <c r="F1339" s="66"/>
      <c r="G1339" s="236"/>
      <c r="I1339" s="145"/>
      <c r="J1339" s="148"/>
      <c r="K1339" s="149"/>
    </row>
    <row r="1340" spans="2:11" s="17" customFormat="1" x14ac:dyDescent="0.25">
      <c r="B1340" s="55"/>
      <c r="C1340" s="55"/>
      <c r="F1340" s="66"/>
      <c r="G1340" s="236"/>
      <c r="I1340" s="145"/>
      <c r="J1340" s="148"/>
      <c r="K1340" s="149"/>
    </row>
    <row r="1341" spans="2:11" s="17" customFormat="1" x14ac:dyDescent="0.25">
      <c r="B1341" s="55"/>
      <c r="C1341" s="55"/>
      <c r="F1341" s="66"/>
      <c r="G1341" s="236"/>
      <c r="I1341" s="145"/>
      <c r="J1341" s="148"/>
      <c r="K1341" s="149"/>
    </row>
    <row r="1342" spans="2:11" s="17" customFormat="1" x14ac:dyDescent="0.25">
      <c r="B1342" s="55"/>
      <c r="C1342" s="55"/>
      <c r="F1342" s="66"/>
      <c r="G1342" s="236"/>
      <c r="I1342" s="145"/>
      <c r="J1342" s="148"/>
      <c r="K1342" s="149"/>
    </row>
    <row r="1343" spans="2:11" s="17" customFormat="1" x14ac:dyDescent="0.25">
      <c r="B1343" s="55"/>
      <c r="C1343" s="55"/>
      <c r="F1343" s="66"/>
      <c r="G1343" s="236"/>
      <c r="I1343" s="145"/>
      <c r="J1343" s="148"/>
      <c r="K1343" s="149"/>
    </row>
    <row r="1344" spans="2:11" s="17" customFormat="1" x14ac:dyDescent="0.25">
      <c r="B1344" s="55"/>
      <c r="C1344" s="55"/>
      <c r="F1344" s="66"/>
      <c r="G1344" s="236"/>
      <c r="I1344" s="145"/>
      <c r="J1344" s="148"/>
      <c r="K1344" s="149"/>
    </row>
    <row r="1345" spans="2:11" s="17" customFormat="1" x14ac:dyDescent="0.25">
      <c r="B1345" s="55"/>
      <c r="C1345" s="55"/>
      <c r="F1345" s="66"/>
      <c r="G1345" s="236"/>
      <c r="I1345" s="145"/>
      <c r="J1345" s="148"/>
      <c r="K1345" s="149"/>
    </row>
    <row r="1346" spans="2:11" s="17" customFormat="1" x14ac:dyDescent="0.25">
      <c r="B1346" s="55"/>
      <c r="C1346" s="55"/>
      <c r="F1346" s="66"/>
      <c r="G1346" s="236"/>
      <c r="I1346" s="145"/>
      <c r="J1346" s="148"/>
      <c r="K1346" s="149"/>
    </row>
    <row r="1347" spans="2:11" s="17" customFormat="1" x14ac:dyDescent="0.25">
      <c r="B1347" s="55"/>
      <c r="C1347" s="55"/>
      <c r="F1347" s="66"/>
      <c r="G1347" s="236"/>
      <c r="I1347" s="145"/>
      <c r="J1347" s="148"/>
      <c r="K1347" s="149"/>
    </row>
    <row r="1348" spans="2:11" s="17" customFormat="1" x14ac:dyDescent="0.25">
      <c r="B1348" s="55"/>
      <c r="C1348" s="55"/>
      <c r="F1348" s="66"/>
      <c r="G1348" s="236"/>
      <c r="I1348" s="145"/>
      <c r="J1348" s="148"/>
      <c r="K1348" s="149"/>
    </row>
    <row r="1349" spans="2:11" s="17" customFormat="1" x14ac:dyDescent="0.25">
      <c r="B1349" s="55"/>
      <c r="C1349" s="55"/>
      <c r="F1349" s="66"/>
      <c r="G1349" s="236"/>
      <c r="I1349" s="145"/>
      <c r="J1349" s="148"/>
      <c r="K1349" s="149"/>
    </row>
    <row r="1350" spans="2:11" s="17" customFormat="1" x14ac:dyDescent="0.25">
      <c r="B1350" s="55"/>
      <c r="C1350" s="55"/>
      <c r="F1350" s="66"/>
      <c r="G1350" s="236"/>
      <c r="I1350" s="145"/>
      <c r="J1350" s="148"/>
      <c r="K1350" s="149"/>
    </row>
    <row r="1351" spans="2:11" s="17" customFormat="1" x14ac:dyDescent="0.25">
      <c r="B1351" s="55"/>
      <c r="C1351" s="55"/>
      <c r="F1351" s="66"/>
      <c r="G1351" s="236"/>
      <c r="I1351" s="145"/>
      <c r="J1351" s="148"/>
      <c r="K1351" s="149"/>
    </row>
    <row r="1352" spans="2:11" s="17" customFormat="1" x14ac:dyDescent="0.25">
      <c r="B1352" s="55"/>
      <c r="C1352" s="55"/>
      <c r="F1352" s="66"/>
      <c r="G1352" s="236"/>
      <c r="I1352" s="145"/>
      <c r="J1352" s="148"/>
      <c r="K1352" s="149"/>
    </row>
    <row r="1353" spans="2:11" s="17" customFormat="1" x14ac:dyDescent="0.25">
      <c r="B1353" s="55"/>
      <c r="C1353" s="55"/>
      <c r="F1353" s="66"/>
      <c r="G1353" s="236"/>
      <c r="I1353" s="145"/>
      <c r="J1353" s="148"/>
      <c r="K1353" s="149"/>
    </row>
    <row r="1354" spans="2:11" s="17" customFormat="1" x14ac:dyDescent="0.25">
      <c r="B1354" s="55"/>
      <c r="C1354" s="55"/>
      <c r="F1354" s="66"/>
      <c r="G1354" s="236"/>
      <c r="I1354" s="145"/>
      <c r="J1354" s="148"/>
      <c r="K1354" s="149"/>
    </row>
    <row r="1355" spans="2:11" s="17" customFormat="1" x14ac:dyDescent="0.25">
      <c r="B1355" s="55"/>
      <c r="C1355" s="55"/>
      <c r="F1355" s="66"/>
      <c r="G1355" s="236"/>
      <c r="I1355" s="145"/>
      <c r="J1355" s="148"/>
      <c r="K1355" s="149"/>
    </row>
    <row r="1356" spans="2:11" s="17" customFormat="1" x14ac:dyDescent="0.25">
      <c r="B1356" s="55"/>
      <c r="C1356" s="55"/>
      <c r="F1356" s="66"/>
      <c r="G1356" s="236"/>
      <c r="I1356" s="145"/>
      <c r="J1356" s="148"/>
      <c r="K1356" s="149"/>
    </row>
    <row r="1357" spans="2:11" s="17" customFormat="1" x14ac:dyDescent="0.25">
      <c r="B1357" s="55"/>
      <c r="C1357" s="55"/>
      <c r="F1357" s="66"/>
      <c r="G1357" s="236"/>
      <c r="I1357" s="145"/>
      <c r="J1357" s="148"/>
      <c r="K1357" s="149"/>
    </row>
    <row r="1358" spans="2:11" s="17" customFormat="1" x14ac:dyDescent="0.25">
      <c r="B1358" s="55"/>
      <c r="C1358" s="55"/>
      <c r="F1358" s="66"/>
      <c r="G1358" s="236"/>
      <c r="I1358" s="145"/>
      <c r="J1358" s="148"/>
      <c r="K1358" s="149"/>
    </row>
    <row r="1359" spans="2:11" s="17" customFormat="1" x14ac:dyDescent="0.25">
      <c r="B1359" s="55"/>
      <c r="C1359" s="55"/>
      <c r="F1359" s="66"/>
      <c r="G1359" s="236"/>
      <c r="I1359" s="145"/>
      <c r="J1359" s="148"/>
      <c r="K1359" s="149"/>
    </row>
    <row r="1360" spans="2:11" s="17" customFormat="1" x14ac:dyDescent="0.25">
      <c r="B1360" s="55"/>
      <c r="C1360" s="55"/>
      <c r="F1360" s="66"/>
      <c r="G1360" s="236"/>
      <c r="I1360" s="145"/>
      <c r="J1360" s="148"/>
      <c r="K1360" s="149"/>
    </row>
    <row r="1361" spans="2:11" s="17" customFormat="1" x14ac:dyDescent="0.25">
      <c r="B1361" s="55"/>
      <c r="C1361" s="55"/>
      <c r="F1361" s="66"/>
      <c r="G1361" s="236"/>
      <c r="I1361" s="145"/>
      <c r="J1361" s="148"/>
      <c r="K1361" s="149"/>
    </row>
    <row r="1362" spans="2:11" s="17" customFormat="1" x14ac:dyDescent="0.25">
      <c r="B1362" s="55"/>
      <c r="C1362" s="55"/>
      <c r="F1362" s="66"/>
      <c r="G1362" s="236"/>
      <c r="I1362" s="145"/>
      <c r="J1362" s="148"/>
      <c r="K1362" s="149"/>
    </row>
    <row r="1363" spans="2:11" s="17" customFormat="1" x14ac:dyDescent="0.25">
      <c r="B1363" s="55"/>
      <c r="C1363" s="55"/>
      <c r="F1363" s="66"/>
      <c r="G1363" s="236"/>
      <c r="I1363" s="145"/>
      <c r="J1363" s="148"/>
      <c r="K1363" s="149"/>
    </row>
    <row r="1364" spans="2:11" s="17" customFormat="1" x14ac:dyDescent="0.25">
      <c r="B1364" s="55"/>
      <c r="C1364" s="55"/>
      <c r="F1364" s="66"/>
      <c r="G1364" s="236"/>
      <c r="I1364" s="145"/>
      <c r="J1364" s="148"/>
      <c r="K1364" s="149"/>
    </row>
    <row r="1365" spans="2:11" s="17" customFormat="1" x14ac:dyDescent="0.25">
      <c r="B1365" s="55"/>
      <c r="C1365" s="55"/>
      <c r="F1365" s="66"/>
      <c r="G1365" s="236"/>
      <c r="I1365" s="145"/>
      <c r="J1365" s="148"/>
      <c r="K1365" s="149"/>
    </row>
    <row r="1366" spans="2:11" s="17" customFormat="1" x14ac:dyDescent="0.25">
      <c r="B1366" s="55"/>
      <c r="C1366" s="55"/>
      <c r="F1366" s="66"/>
      <c r="G1366" s="236"/>
      <c r="I1366" s="145"/>
      <c r="J1366" s="148"/>
      <c r="K1366" s="149"/>
    </row>
    <row r="1367" spans="2:11" s="17" customFormat="1" x14ac:dyDescent="0.25">
      <c r="B1367" s="55"/>
      <c r="C1367" s="55"/>
      <c r="F1367" s="66"/>
      <c r="G1367" s="236"/>
      <c r="I1367" s="145"/>
      <c r="J1367" s="148"/>
      <c r="K1367" s="149"/>
    </row>
    <row r="1368" spans="2:11" s="17" customFormat="1" x14ac:dyDescent="0.25">
      <c r="B1368" s="55"/>
      <c r="C1368" s="55"/>
      <c r="F1368" s="66"/>
      <c r="G1368" s="236"/>
      <c r="I1368" s="145"/>
      <c r="J1368" s="148"/>
      <c r="K1368" s="149"/>
    </row>
    <row r="1369" spans="2:11" s="17" customFormat="1" x14ac:dyDescent="0.25">
      <c r="B1369" s="55"/>
      <c r="C1369" s="55"/>
      <c r="F1369" s="66"/>
      <c r="G1369" s="236"/>
      <c r="I1369" s="145"/>
      <c r="J1369" s="148"/>
      <c r="K1369" s="149"/>
    </row>
    <row r="1370" spans="2:11" s="17" customFormat="1" x14ac:dyDescent="0.25">
      <c r="B1370" s="55"/>
      <c r="C1370" s="55"/>
      <c r="F1370" s="66"/>
      <c r="G1370" s="236"/>
      <c r="I1370" s="145"/>
      <c r="J1370" s="148"/>
      <c r="K1370" s="149"/>
    </row>
    <row r="1371" spans="2:11" s="17" customFormat="1" x14ac:dyDescent="0.25">
      <c r="B1371" s="55"/>
      <c r="C1371" s="55"/>
      <c r="F1371" s="66"/>
      <c r="G1371" s="236"/>
      <c r="I1371" s="145"/>
      <c r="J1371" s="148"/>
      <c r="K1371" s="149"/>
    </row>
    <row r="1372" spans="2:11" s="17" customFormat="1" x14ac:dyDescent="0.25">
      <c r="B1372" s="55"/>
      <c r="C1372" s="55"/>
      <c r="F1372" s="66"/>
      <c r="G1372" s="236"/>
      <c r="I1372" s="145"/>
      <c r="J1372" s="148"/>
      <c r="K1372" s="149"/>
    </row>
    <row r="1373" spans="2:11" s="17" customFormat="1" x14ac:dyDescent="0.25">
      <c r="B1373" s="55"/>
      <c r="C1373" s="55"/>
      <c r="F1373" s="66"/>
      <c r="G1373" s="236"/>
      <c r="I1373" s="145"/>
      <c r="J1373" s="148"/>
      <c r="K1373" s="149"/>
    </row>
    <row r="1374" spans="2:11" s="17" customFormat="1" x14ac:dyDescent="0.25">
      <c r="B1374" s="55"/>
      <c r="C1374" s="55"/>
      <c r="F1374" s="66"/>
      <c r="G1374" s="236"/>
      <c r="I1374" s="145"/>
      <c r="J1374" s="148"/>
      <c r="K1374" s="149"/>
    </row>
    <row r="1375" spans="2:11" s="17" customFormat="1" x14ac:dyDescent="0.25">
      <c r="B1375" s="55"/>
      <c r="C1375" s="55"/>
      <c r="F1375" s="66"/>
      <c r="G1375" s="236"/>
      <c r="I1375" s="145"/>
      <c r="J1375" s="148"/>
      <c r="K1375" s="149"/>
    </row>
    <row r="1376" spans="2:11" s="17" customFormat="1" x14ac:dyDescent="0.25">
      <c r="B1376" s="55"/>
      <c r="C1376" s="55"/>
      <c r="F1376" s="66"/>
      <c r="G1376" s="236"/>
      <c r="I1376" s="145"/>
      <c r="J1376" s="148"/>
      <c r="K1376" s="149"/>
    </row>
    <row r="1377" spans="2:11" s="17" customFormat="1" x14ac:dyDescent="0.25">
      <c r="B1377" s="55"/>
      <c r="C1377" s="55"/>
      <c r="F1377" s="66"/>
      <c r="G1377" s="236"/>
      <c r="I1377" s="145"/>
      <c r="J1377" s="148"/>
      <c r="K1377" s="149"/>
    </row>
    <row r="1378" spans="2:11" s="17" customFormat="1" x14ac:dyDescent="0.25">
      <c r="B1378" s="55"/>
      <c r="C1378" s="55"/>
      <c r="F1378" s="66"/>
      <c r="G1378" s="236"/>
      <c r="I1378" s="145"/>
      <c r="J1378" s="148"/>
      <c r="K1378" s="149"/>
    </row>
    <row r="1379" spans="2:11" s="17" customFormat="1" x14ac:dyDescent="0.25">
      <c r="B1379" s="55"/>
      <c r="C1379" s="55"/>
      <c r="F1379" s="66"/>
      <c r="G1379" s="236"/>
      <c r="I1379" s="145"/>
      <c r="J1379" s="148"/>
      <c r="K1379" s="149"/>
    </row>
    <row r="1380" spans="2:11" s="17" customFormat="1" x14ac:dyDescent="0.25">
      <c r="B1380" s="55"/>
      <c r="C1380" s="55"/>
      <c r="F1380" s="66"/>
      <c r="G1380" s="236"/>
      <c r="I1380" s="145"/>
      <c r="J1380" s="148"/>
      <c r="K1380" s="149"/>
    </row>
    <row r="1381" spans="2:11" s="17" customFormat="1" x14ac:dyDescent="0.25">
      <c r="B1381" s="55"/>
      <c r="C1381" s="55"/>
      <c r="F1381" s="66"/>
      <c r="G1381" s="236"/>
      <c r="I1381" s="145"/>
      <c r="J1381" s="148"/>
      <c r="K1381" s="149"/>
    </row>
    <row r="1382" spans="2:11" s="17" customFormat="1" x14ac:dyDescent="0.25">
      <c r="B1382" s="55"/>
      <c r="C1382" s="55"/>
      <c r="F1382" s="66"/>
      <c r="G1382" s="236"/>
      <c r="I1382" s="145"/>
      <c r="J1382" s="148"/>
      <c r="K1382" s="149"/>
    </row>
    <row r="1383" spans="2:11" s="17" customFormat="1" x14ac:dyDescent="0.25">
      <c r="B1383" s="55"/>
      <c r="C1383" s="55"/>
      <c r="F1383" s="66"/>
      <c r="G1383" s="236"/>
      <c r="I1383" s="145"/>
      <c r="J1383" s="148"/>
      <c r="K1383" s="149"/>
    </row>
    <row r="1384" spans="2:11" s="17" customFormat="1" x14ac:dyDescent="0.25">
      <c r="B1384" s="55"/>
      <c r="C1384" s="55"/>
      <c r="F1384" s="66"/>
      <c r="G1384" s="236"/>
      <c r="I1384" s="145"/>
      <c r="J1384" s="148"/>
      <c r="K1384" s="149"/>
    </row>
    <row r="1385" spans="2:11" s="17" customFormat="1" x14ac:dyDescent="0.25">
      <c r="B1385" s="55"/>
      <c r="C1385" s="55"/>
      <c r="F1385" s="66"/>
      <c r="G1385" s="236"/>
      <c r="I1385" s="145"/>
      <c r="J1385" s="148"/>
      <c r="K1385" s="149"/>
    </row>
    <row r="1386" spans="2:11" s="17" customFormat="1" x14ac:dyDescent="0.25">
      <c r="B1386" s="55"/>
      <c r="C1386" s="55"/>
      <c r="F1386" s="66"/>
      <c r="G1386" s="236"/>
      <c r="I1386" s="145"/>
      <c r="J1386" s="148"/>
      <c r="K1386" s="149"/>
    </row>
    <row r="1387" spans="2:11" s="17" customFormat="1" x14ac:dyDescent="0.25">
      <c r="B1387" s="55"/>
      <c r="C1387" s="55"/>
      <c r="F1387" s="66"/>
      <c r="G1387" s="236"/>
      <c r="I1387" s="145"/>
      <c r="J1387" s="148"/>
      <c r="K1387" s="149"/>
    </row>
    <row r="1388" spans="2:11" s="17" customFormat="1" x14ac:dyDescent="0.25">
      <c r="B1388" s="55"/>
      <c r="C1388" s="55"/>
      <c r="F1388" s="66"/>
      <c r="G1388" s="236"/>
      <c r="I1388" s="145"/>
      <c r="J1388" s="148"/>
      <c r="K1388" s="149"/>
    </row>
    <row r="1389" spans="2:11" s="17" customFormat="1" x14ac:dyDescent="0.25">
      <c r="B1389" s="55"/>
      <c r="C1389" s="55"/>
      <c r="F1389" s="66"/>
      <c r="G1389" s="236"/>
      <c r="I1389" s="145"/>
      <c r="J1389" s="148"/>
      <c r="K1389" s="149"/>
    </row>
    <row r="1390" spans="2:11" s="17" customFormat="1" x14ac:dyDescent="0.25">
      <c r="B1390" s="55"/>
      <c r="C1390" s="55"/>
      <c r="F1390" s="66"/>
      <c r="G1390" s="236"/>
      <c r="I1390" s="145"/>
      <c r="J1390" s="148"/>
      <c r="K1390" s="149"/>
    </row>
    <row r="1391" spans="2:11" s="17" customFormat="1" x14ac:dyDescent="0.25">
      <c r="B1391" s="55"/>
      <c r="C1391" s="55"/>
      <c r="F1391" s="66"/>
      <c r="G1391" s="236"/>
      <c r="I1391" s="145"/>
      <c r="J1391" s="148"/>
      <c r="K1391" s="149"/>
    </row>
    <row r="1392" spans="2:11" s="17" customFormat="1" x14ac:dyDescent="0.25">
      <c r="B1392" s="55"/>
      <c r="C1392" s="55"/>
      <c r="F1392" s="66"/>
      <c r="G1392" s="236"/>
      <c r="I1392" s="145"/>
      <c r="J1392" s="148"/>
      <c r="K1392" s="149"/>
    </row>
    <row r="1393" spans="2:11" s="17" customFormat="1" x14ac:dyDescent="0.25">
      <c r="B1393" s="55"/>
      <c r="C1393" s="55"/>
      <c r="F1393" s="66"/>
      <c r="G1393" s="236"/>
      <c r="I1393" s="145"/>
      <c r="J1393" s="148"/>
      <c r="K1393" s="149"/>
    </row>
    <row r="1394" spans="2:11" s="17" customFormat="1" x14ac:dyDescent="0.25">
      <c r="B1394" s="55"/>
      <c r="C1394" s="55"/>
      <c r="F1394" s="66"/>
      <c r="G1394" s="236"/>
      <c r="I1394" s="145"/>
      <c r="J1394" s="148"/>
      <c r="K1394" s="149"/>
    </row>
    <row r="1395" spans="2:11" s="17" customFormat="1" x14ac:dyDescent="0.25">
      <c r="B1395" s="55"/>
      <c r="C1395" s="55"/>
      <c r="F1395" s="66"/>
      <c r="G1395" s="236"/>
      <c r="I1395" s="145"/>
      <c r="J1395" s="148"/>
      <c r="K1395" s="149"/>
    </row>
    <row r="1396" spans="2:11" s="17" customFormat="1" x14ac:dyDescent="0.25">
      <c r="B1396" s="55"/>
      <c r="C1396" s="55"/>
      <c r="F1396" s="66"/>
      <c r="G1396" s="236"/>
      <c r="I1396" s="145"/>
      <c r="J1396" s="148"/>
      <c r="K1396" s="149"/>
    </row>
    <row r="1397" spans="2:11" s="17" customFormat="1" x14ac:dyDescent="0.25">
      <c r="B1397" s="55"/>
      <c r="C1397" s="55"/>
      <c r="F1397" s="66"/>
      <c r="G1397" s="236"/>
      <c r="I1397" s="145"/>
      <c r="J1397" s="148"/>
      <c r="K1397" s="149"/>
    </row>
    <row r="1398" spans="2:11" s="17" customFormat="1" x14ac:dyDescent="0.25">
      <c r="B1398" s="55"/>
      <c r="C1398" s="55"/>
      <c r="F1398" s="66"/>
      <c r="G1398" s="236"/>
      <c r="I1398" s="145"/>
      <c r="J1398" s="148"/>
      <c r="K1398" s="149"/>
    </row>
    <row r="1399" spans="2:11" s="17" customFormat="1" x14ac:dyDescent="0.25">
      <c r="B1399" s="55"/>
      <c r="C1399" s="55"/>
      <c r="F1399" s="66"/>
      <c r="G1399" s="236"/>
      <c r="I1399" s="145"/>
      <c r="J1399" s="148"/>
      <c r="K1399" s="149"/>
    </row>
    <row r="1400" spans="2:11" s="17" customFormat="1" x14ac:dyDescent="0.25">
      <c r="B1400" s="55"/>
      <c r="C1400" s="55"/>
      <c r="F1400" s="66"/>
      <c r="G1400" s="236"/>
      <c r="I1400" s="145"/>
      <c r="J1400" s="148"/>
      <c r="K1400" s="149"/>
    </row>
    <row r="1401" spans="2:11" s="17" customFormat="1" x14ac:dyDescent="0.25">
      <c r="B1401" s="55"/>
      <c r="C1401" s="55"/>
      <c r="F1401" s="66"/>
      <c r="G1401" s="236"/>
      <c r="I1401" s="145"/>
      <c r="J1401" s="148"/>
      <c r="K1401" s="149"/>
    </row>
    <row r="1402" spans="2:11" s="17" customFormat="1" x14ac:dyDescent="0.25">
      <c r="B1402" s="55"/>
      <c r="C1402" s="55"/>
      <c r="F1402" s="66"/>
      <c r="G1402" s="236"/>
      <c r="I1402" s="145"/>
      <c r="J1402" s="148"/>
      <c r="K1402" s="149"/>
    </row>
    <row r="1403" spans="2:11" s="17" customFormat="1" x14ac:dyDescent="0.25">
      <c r="B1403" s="55"/>
      <c r="C1403" s="55"/>
      <c r="F1403" s="66"/>
      <c r="G1403" s="236"/>
      <c r="I1403" s="145"/>
      <c r="J1403" s="148"/>
      <c r="K1403" s="149"/>
    </row>
    <row r="1404" spans="2:11" s="17" customFormat="1" x14ac:dyDescent="0.25">
      <c r="B1404" s="55"/>
      <c r="C1404" s="55"/>
      <c r="F1404" s="66"/>
      <c r="G1404" s="236"/>
      <c r="I1404" s="145"/>
      <c r="J1404" s="148"/>
      <c r="K1404" s="149"/>
    </row>
    <row r="1405" spans="2:11" s="17" customFormat="1" x14ac:dyDescent="0.25">
      <c r="B1405" s="55"/>
      <c r="C1405" s="55"/>
      <c r="F1405" s="66"/>
      <c r="G1405" s="236"/>
      <c r="I1405" s="145"/>
      <c r="J1405" s="148"/>
      <c r="K1405" s="149"/>
    </row>
    <row r="1406" spans="2:11" s="17" customFormat="1" x14ac:dyDescent="0.25">
      <c r="B1406" s="55"/>
      <c r="C1406" s="55"/>
      <c r="F1406" s="66"/>
      <c r="G1406" s="236"/>
      <c r="I1406" s="145"/>
      <c r="J1406" s="148"/>
      <c r="K1406" s="149"/>
    </row>
    <row r="1407" spans="2:11" s="17" customFormat="1" x14ac:dyDescent="0.25">
      <c r="B1407" s="55"/>
      <c r="C1407" s="55"/>
      <c r="F1407" s="66"/>
      <c r="G1407" s="236"/>
      <c r="I1407" s="145"/>
      <c r="J1407" s="148"/>
      <c r="K1407" s="149"/>
    </row>
    <row r="1408" spans="2:11" s="17" customFormat="1" x14ac:dyDescent="0.25">
      <c r="B1408" s="55"/>
      <c r="C1408" s="55"/>
      <c r="F1408" s="66"/>
      <c r="G1408" s="236"/>
      <c r="I1408" s="145"/>
      <c r="J1408" s="148"/>
      <c r="K1408" s="149"/>
    </row>
    <row r="1409" spans="2:11" s="17" customFormat="1" x14ac:dyDescent="0.25">
      <c r="B1409" s="55"/>
      <c r="C1409" s="55"/>
      <c r="F1409" s="66"/>
      <c r="G1409" s="236"/>
      <c r="I1409" s="145"/>
      <c r="J1409" s="148"/>
      <c r="K1409" s="149"/>
    </row>
    <row r="1410" spans="2:11" s="17" customFormat="1" x14ac:dyDescent="0.25">
      <c r="B1410" s="55"/>
      <c r="C1410" s="55"/>
      <c r="F1410" s="66"/>
      <c r="G1410" s="236"/>
      <c r="I1410" s="145"/>
      <c r="J1410" s="148"/>
      <c r="K1410" s="149"/>
    </row>
    <row r="1411" spans="2:11" s="17" customFormat="1" x14ac:dyDescent="0.25">
      <c r="B1411" s="55"/>
      <c r="C1411" s="55"/>
      <c r="F1411" s="66"/>
      <c r="G1411" s="236"/>
      <c r="I1411" s="145"/>
      <c r="J1411" s="148"/>
      <c r="K1411" s="149"/>
    </row>
    <row r="1412" spans="2:11" s="17" customFormat="1" x14ac:dyDescent="0.25">
      <c r="B1412" s="55"/>
      <c r="C1412" s="55"/>
      <c r="F1412" s="66"/>
      <c r="G1412" s="236"/>
      <c r="I1412" s="145"/>
      <c r="J1412" s="148"/>
      <c r="K1412" s="149"/>
    </row>
    <row r="1413" spans="2:11" s="17" customFormat="1" x14ac:dyDescent="0.25">
      <c r="B1413" s="55"/>
      <c r="C1413" s="55"/>
      <c r="F1413" s="66"/>
      <c r="G1413" s="236"/>
      <c r="I1413" s="145"/>
      <c r="J1413" s="148"/>
      <c r="K1413" s="149"/>
    </row>
    <row r="1414" spans="2:11" s="17" customFormat="1" x14ac:dyDescent="0.25">
      <c r="B1414" s="55"/>
      <c r="C1414" s="55"/>
      <c r="F1414" s="66"/>
      <c r="G1414" s="236"/>
      <c r="I1414" s="145"/>
      <c r="J1414" s="148"/>
      <c r="K1414" s="149"/>
    </row>
    <row r="1415" spans="2:11" s="17" customFormat="1" x14ac:dyDescent="0.25">
      <c r="B1415" s="55"/>
      <c r="C1415" s="55"/>
      <c r="F1415" s="66"/>
      <c r="G1415" s="236"/>
      <c r="I1415" s="145"/>
      <c r="J1415" s="148"/>
      <c r="K1415" s="149"/>
    </row>
    <row r="1416" spans="2:11" s="17" customFormat="1" x14ac:dyDescent="0.25">
      <c r="B1416" s="55"/>
      <c r="C1416" s="55"/>
      <c r="F1416" s="66"/>
      <c r="G1416" s="236"/>
      <c r="I1416" s="145"/>
      <c r="J1416" s="148"/>
      <c r="K1416" s="149"/>
    </row>
    <row r="1417" spans="2:11" s="17" customFormat="1" x14ac:dyDescent="0.25">
      <c r="B1417" s="55"/>
      <c r="C1417" s="55"/>
      <c r="F1417" s="66"/>
      <c r="G1417" s="236"/>
      <c r="I1417" s="145"/>
      <c r="J1417" s="148"/>
      <c r="K1417" s="149"/>
    </row>
    <row r="1418" spans="2:11" s="17" customFormat="1" x14ac:dyDescent="0.25">
      <c r="B1418" s="55"/>
      <c r="C1418" s="55"/>
      <c r="F1418" s="66"/>
      <c r="G1418" s="236"/>
      <c r="I1418" s="145"/>
      <c r="J1418" s="148"/>
      <c r="K1418" s="149"/>
    </row>
    <row r="1419" spans="2:11" s="17" customFormat="1" x14ac:dyDescent="0.25">
      <c r="B1419" s="55"/>
      <c r="C1419" s="55"/>
      <c r="F1419" s="66"/>
      <c r="G1419" s="236"/>
      <c r="I1419" s="145"/>
      <c r="J1419" s="148"/>
      <c r="K1419" s="149"/>
    </row>
    <row r="1420" spans="2:11" s="17" customFormat="1" x14ac:dyDescent="0.25">
      <c r="B1420" s="55"/>
      <c r="C1420" s="55"/>
      <c r="F1420" s="66"/>
      <c r="G1420" s="236"/>
      <c r="I1420" s="145"/>
      <c r="J1420" s="148"/>
      <c r="K1420" s="149"/>
    </row>
    <row r="1421" spans="2:11" s="17" customFormat="1" x14ac:dyDescent="0.25">
      <c r="B1421" s="55"/>
      <c r="C1421" s="55"/>
      <c r="F1421" s="66"/>
      <c r="G1421" s="236"/>
      <c r="I1421" s="145"/>
      <c r="J1421" s="148"/>
      <c r="K1421" s="149"/>
    </row>
    <row r="1422" spans="2:11" s="17" customFormat="1" x14ac:dyDescent="0.25">
      <c r="B1422" s="55"/>
      <c r="C1422" s="55"/>
      <c r="F1422" s="66"/>
      <c r="G1422" s="236"/>
      <c r="I1422" s="145"/>
      <c r="J1422" s="148"/>
      <c r="K1422" s="149"/>
    </row>
    <row r="1423" spans="2:11" s="17" customFormat="1" x14ac:dyDescent="0.25">
      <c r="B1423" s="55"/>
      <c r="C1423" s="55"/>
      <c r="F1423" s="66"/>
      <c r="G1423" s="236"/>
      <c r="I1423" s="145"/>
      <c r="J1423" s="148"/>
      <c r="K1423" s="149"/>
    </row>
    <row r="1424" spans="2:11" s="17" customFormat="1" x14ac:dyDescent="0.25">
      <c r="B1424" s="55"/>
      <c r="C1424" s="55"/>
      <c r="F1424" s="66"/>
      <c r="G1424" s="236"/>
      <c r="I1424" s="145"/>
      <c r="J1424" s="148"/>
      <c r="K1424" s="149"/>
    </row>
    <row r="1425" spans="2:11" s="17" customFormat="1" x14ac:dyDescent="0.25">
      <c r="B1425" s="55"/>
      <c r="C1425" s="55"/>
      <c r="F1425" s="66"/>
      <c r="G1425" s="236"/>
      <c r="I1425" s="145"/>
      <c r="J1425" s="148"/>
      <c r="K1425" s="149"/>
    </row>
    <row r="1426" spans="2:11" s="17" customFormat="1" x14ac:dyDescent="0.25">
      <c r="B1426" s="55"/>
      <c r="C1426" s="55"/>
      <c r="F1426" s="66"/>
      <c r="G1426" s="236"/>
      <c r="I1426" s="145"/>
      <c r="J1426" s="148"/>
      <c r="K1426" s="149"/>
    </row>
    <row r="1427" spans="2:11" s="17" customFormat="1" x14ac:dyDescent="0.25">
      <c r="B1427" s="55"/>
      <c r="C1427" s="55"/>
      <c r="F1427" s="66"/>
      <c r="G1427" s="236"/>
      <c r="I1427" s="145"/>
      <c r="J1427" s="148"/>
      <c r="K1427" s="149"/>
    </row>
    <row r="1428" spans="2:11" s="17" customFormat="1" x14ac:dyDescent="0.25">
      <c r="B1428" s="55"/>
      <c r="C1428" s="55"/>
      <c r="F1428" s="66"/>
      <c r="G1428" s="236"/>
      <c r="I1428" s="145"/>
      <c r="J1428" s="148"/>
      <c r="K1428" s="149"/>
    </row>
    <row r="1429" spans="2:11" s="17" customFormat="1" x14ac:dyDescent="0.25">
      <c r="B1429" s="55"/>
      <c r="C1429" s="55"/>
      <c r="F1429" s="66"/>
      <c r="G1429" s="236"/>
      <c r="I1429" s="145"/>
      <c r="J1429" s="148"/>
      <c r="K1429" s="149"/>
    </row>
    <row r="1430" spans="2:11" s="17" customFormat="1" x14ac:dyDescent="0.25">
      <c r="B1430" s="55"/>
      <c r="C1430" s="55"/>
      <c r="F1430" s="66"/>
      <c r="G1430" s="236"/>
      <c r="I1430" s="145"/>
      <c r="J1430" s="148"/>
      <c r="K1430" s="149"/>
    </row>
    <row r="1431" spans="2:11" s="17" customFormat="1" x14ac:dyDescent="0.25">
      <c r="B1431" s="55"/>
      <c r="C1431" s="55"/>
      <c r="F1431" s="66"/>
      <c r="G1431" s="236"/>
      <c r="I1431" s="145"/>
      <c r="J1431" s="148"/>
      <c r="K1431" s="149"/>
    </row>
    <row r="1432" spans="2:11" s="17" customFormat="1" x14ac:dyDescent="0.25">
      <c r="B1432" s="55"/>
      <c r="C1432" s="55"/>
      <c r="F1432" s="66"/>
      <c r="G1432" s="236"/>
      <c r="I1432" s="145"/>
      <c r="J1432" s="148"/>
      <c r="K1432" s="149"/>
    </row>
    <row r="1433" spans="2:11" s="17" customFormat="1" x14ac:dyDescent="0.25">
      <c r="B1433" s="55"/>
      <c r="C1433" s="55"/>
      <c r="F1433" s="66"/>
      <c r="G1433" s="236"/>
      <c r="I1433" s="145"/>
      <c r="J1433" s="148"/>
      <c r="K1433" s="149"/>
    </row>
    <row r="1434" spans="2:11" s="17" customFormat="1" x14ac:dyDescent="0.25">
      <c r="B1434" s="55"/>
      <c r="C1434" s="55"/>
      <c r="F1434" s="66"/>
      <c r="G1434" s="236"/>
      <c r="I1434" s="145"/>
      <c r="J1434" s="148"/>
      <c r="K1434" s="149"/>
    </row>
    <row r="1435" spans="2:11" s="17" customFormat="1" x14ac:dyDescent="0.25">
      <c r="B1435" s="55"/>
      <c r="C1435" s="55"/>
      <c r="F1435" s="66"/>
      <c r="G1435" s="236"/>
      <c r="I1435" s="145"/>
      <c r="J1435" s="148"/>
      <c r="K1435" s="149"/>
    </row>
    <row r="1436" spans="2:11" s="17" customFormat="1" x14ac:dyDescent="0.25">
      <c r="B1436" s="55"/>
      <c r="C1436" s="55"/>
      <c r="F1436" s="66"/>
      <c r="G1436" s="236"/>
      <c r="I1436" s="145"/>
      <c r="J1436" s="148"/>
      <c r="K1436" s="149"/>
    </row>
    <row r="1437" spans="2:11" s="17" customFormat="1" x14ac:dyDescent="0.25">
      <c r="B1437" s="55"/>
      <c r="C1437" s="55"/>
      <c r="F1437" s="66"/>
      <c r="G1437" s="236"/>
      <c r="I1437" s="145"/>
      <c r="J1437" s="148"/>
      <c r="K1437" s="149"/>
    </row>
    <row r="1438" spans="2:11" s="17" customFormat="1" x14ac:dyDescent="0.25">
      <c r="B1438" s="55"/>
      <c r="C1438" s="55"/>
      <c r="F1438" s="66"/>
      <c r="G1438" s="236"/>
      <c r="I1438" s="145"/>
      <c r="J1438" s="148"/>
      <c r="K1438" s="149"/>
    </row>
    <row r="1439" spans="2:11" s="17" customFormat="1" x14ac:dyDescent="0.25">
      <c r="B1439" s="55"/>
      <c r="C1439" s="55"/>
      <c r="F1439" s="66"/>
      <c r="G1439" s="236"/>
      <c r="I1439" s="145"/>
      <c r="J1439" s="148"/>
      <c r="K1439" s="149"/>
    </row>
    <row r="1440" spans="2:11" s="17" customFormat="1" x14ac:dyDescent="0.25">
      <c r="B1440" s="55"/>
      <c r="C1440" s="55"/>
      <c r="F1440" s="66"/>
      <c r="G1440" s="236"/>
      <c r="I1440" s="145"/>
      <c r="J1440" s="148"/>
      <c r="K1440" s="149"/>
    </row>
    <row r="1441" spans="2:11" s="17" customFormat="1" x14ac:dyDescent="0.25">
      <c r="B1441" s="55"/>
      <c r="C1441" s="55"/>
      <c r="F1441" s="66"/>
      <c r="G1441" s="236"/>
      <c r="I1441" s="145"/>
      <c r="J1441" s="148"/>
      <c r="K1441" s="149"/>
    </row>
    <row r="1442" spans="2:11" s="17" customFormat="1" x14ac:dyDescent="0.25">
      <c r="B1442" s="55"/>
      <c r="C1442" s="55"/>
      <c r="F1442" s="66"/>
      <c r="G1442" s="236"/>
      <c r="I1442" s="145"/>
      <c r="J1442" s="148"/>
      <c r="K1442" s="149"/>
    </row>
    <row r="1443" spans="2:11" s="17" customFormat="1" x14ac:dyDescent="0.25">
      <c r="B1443" s="55"/>
      <c r="C1443" s="55"/>
      <c r="F1443" s="66"/>
      <c r="G1443" s="236"/>
      <c r="I1443" s="145"/>
      <c r="J1443" s="148"/>
      <c r="K1443" s="149"/>
    </row>
    <row r="1444" spans="2:11" s="17" customFormat="1" x14ac:dyDescent="0.25">
      <c r="B1444" s="55"/>
      <c r="C1444" s="55"/>
      <c r="F1444" s="66"/>
      <c r="G1444" s="236"/>
      <c r="I1444" s="145"/>
      <c r="J1444" s="148"/>
      <c r="K1444" s="149"/>
    </row>
    <row r="1445" spans="2:11" s="17" customFormat="1" x14ac:dyDescent="0.25">
      <c r="B1445" s="55"/>
      <c r="C1445" s="55"/>
      <c r="F1445" s="66"/>
      <c r="G1445" s="236"/>
      <c r="I1445" s="145"/>
      <c r="J1445" s="148"/>
      <c r="K1445" s="149"/>
    </row>
    <row r="1446" spans="2:11" s="17" customFormat="1" x14ac:dyDescent="0.25">
      <c r="B1446" s="55"/>
      <c r="C1446" s="55"/>
      <c r="F1446" s="66"/>
      <c r="G1446" s="236"/>
      <c r="I1446" s="145"/>
      <c r="J1446" s="148"/>
      <c r="K1446" s="149"/>
    </row>
    <row r="1447" spans="2:11" s="17" customFormat="1" x14ac:dyDescent="0.25">
      <c r="B1447" s="55"/>
      <c r="C1447" s="55"/>
      <c r="F1447" s="66"/>
      <c r="G1447" s="236"/>
      <c r="I1447" s="145"/>
      <c r="J1447" s="148"/>
      <c r="K1447" s="149"/>
    </row>
    <row r="1448" spans="2:11" s="17" customFormat="1" x14ac:dyDescent="0.25">
      <c r="B1448" s="55"/>
      <c r="C1448" s="55"/>
      <c r="F1448" s="66"/>
      <c r="G1448" s="236"/>
      <c r="I1448" s="145"/>
      <c r="J1448" s="148"/>
      <c r="K1448" s="149"/>
    </row>
    <row r="1449" spans="2:11" s="17" customFormat="1" x14ac:dyDescent="0.25">
      <c r="B1449" s="55"/>
      <c r="C1449" s="55"/>
      <c r="F1449" s="66"/>
      <c r="G1449" s="236"/>
      <c r="I1449" s="145"/>
      <c r="J1449" s="148"/>
      <c r="K1449" s="149"/>
    </row>
    <row r="1450" spans="2:11" s="17" customFormat="1" x14ac:dyDescent="0.25">
      <c r="B1450" s="55"/>
      <c r="C1450" s="55"/>
      <c r="F1450" s="66"/>
      <c r="G1450" s="236"/>
      <c r="I1450" s="145"/>
      <c r="J1450" s="148"/>
      <c r="K1450" s="149"/>
    </row>
    <row r="1451" spans="2:11" s="17" customFormat="1" x14ac:dyDescent="0.25">
      <c r="B1451" s="55"/>
      <c r="C1451" s="55"/>
      <c r="F1451" s="66"/>
      <c r="G1451" s="236"/>
      <c r="I1451" s="145"/>
      <c r="J1451" s="148"/>
      <c r="K1451" s="149"/>
    </row>
    <row r="1452" spans="2:11" s="17" customFormat="1" x14ac:dyDescent="0.25">
      <c r="B1452" s="55"/>
      <c r="C1452" s="55"/>
      <c r="F1452" s="66"/>
      <c r="G1452" s="236"/>
      <c r="I1452" s="145"/>
      <c r="J1452" s="148"/>
      <c r="K1452" s="149"/>
    </row>
    <row r="1453" spans="2:11" s="17" customFormat="1" x14ac:dyDescent="0.25">
      <c r="B1453" s="55"/>
      <c r="C1453" s="55"/>
      <c r="F1453" s="66"/>
      <c r="G1453" s="236"/>
      <c r="I1453" s="145"/>
      <c r="J1453" s="148"/>
      <c r="K1453" s="149"/>
    </row>
    <row r="1454" spans="2:11" s="17" customFormat="1" x14ac:dyDescent="0.25">
      <c r="B1454" s="55"/>
      <c r="C1454" s="55"/>
      <c r="F1454" s="66"/>
      <c r="G1454" s="236"/>
      <c r="I1454" s="145"/>
      <c r="J1454" s="148"/>
      <c r="K1454" s="149"/>
    </row>
    <row r="1455" spans="2:11" s="17" customFormat="1" x14ac:dyDescent="0.25">
      <c r="B1455" s="55"/>
      <c r="C1455" s="55"/>
      <c r="F1455" s="66"/>
      <c r="G1455" s="236"/>
      <c r="I1455" s="145"/>
      <c r="J1455" s="148"/>
      <c r="K1455" s="149"/>
    </row>
    <row r="1456" spans="2:11" s="17" customFormat="1" x14ac:dyDescent="0.25">
      <c r="B1456" s="55"/>
      <c r="C1456" s="55"/>
      <c r="F1456" s="66"/>
      <c r="G1456" s="236"/>
      <c r="I1456" s="145"/>
      <c r="J1456" s="148"/>
      <c r="K1456" s="149"/>
    </row>
    <row r="1457" spans="2:11" s="17" customFormat="1" x14ac:dyDescent="0.25">
      <c r="B1457" s="55"/>
      <c r="C1457" s="55"/>
      <c r="F1457" s="66"/>
      <c r="G1457" s="236"/>
      <c r="I1457" s="145"/>
      <c r="J1457" s="148"/>
      <c r="K1457" s="149"/>
    </row>
    <row r="1458" spans="2:11" s="17" customFormat="1" x14ac:dyDescent="0.25">
      <c r="B1458" s="55"/>
      <c r="C1458" s="55"/>
      <c r="F1458" s="66"/>
      <c r="G1458" s="236"/>
      <c r="I1458" s="145"/>
      <c r="J1458" s="148"/>
      <c r="K1458" s="149"/>
    </row>
    <row r="1459" spans="2:11" s="17" customFormat="1" x14ac:dyDescent="0.25">
      <c r="B1459" s="55"/>
      <c r="C1459" s="55"/>
      <c r="F1459" s="66"/>
      <c r="G1459" s="236"/>
      <c r="I1459" s="145"/>
      <c r="J1459" s="148"/>
      <c r="K1459" s="149"/>
    </row>
    <row r="1460" spans="2:11" s="17" customFormat="1" x14ac:dyDescent="0.25">
      <c r="B1460" s="55"/>
      <c r="C1460" s="55"/>
      <c r="F1460" s="66"/>
      <c r="G1460" s="236"/>
      <c r="I1460" s="145"/>
      <c r="J1460" s="148"/>
      <c r="K1460" s="149"/>
    </row>
    <row r="1461" spans="2:11" s="17" customFormat="1" x14ac:dyDescent="0.25">
      <c r="B1461" s="55"/>
      <c r="C1461" s="55"/>
      <c r="F1461" s="66"/>
      <c r="G1461" s="236"/>
      <c r="I1461" s="145"/>
      <c r="J1461" s="148"/>
      <c r="K1461" s="149"/>
    </row>
    <row r="1462" spans="2:11" s="17" customFormat="1" x14ac:dyDescent="0.25">
      <c r="B1462" s="55"/>
      <c r="C1462" s="55"/>
      <c r="F1462" s="66"/>
      <c r="G1462" s="236"/>
      <c r="I1462" s="145"/>
      <c r="J1462" s="148"/>
      <c r="K1462" s="149"/>
    </row>
    <row r="1463" spans="2:11" s="17" customFormat="1" x14ac:dyDescent="0.25">
      <c r="B1463" s="55"/>
      <c r="C1463" s="55"/>
      <c r="F1463" s="66"/>
      <c r="G1463" s="236"/>
      <c r="I1463" s="145"/>
      <c r="J1463" s="148"/>
      <c r="K1463" s="149"/>
    </row>
    <row r="1464" spans="2:11" s="17" customFormat="1" x14ac:dyDescent="0.25">
      <c r="B1464" s="55"/>
      <c r="C1464" s="55"/>
      <c r="F1464" s="66"/>
      <c r="G1464" s="236"/>
      <c r="I1464" s="145"/>
      <c r="J1464" s="148"/>
      <c r="K1464" s="149"/>
    </row>
    <row r="1465" spans="2:11" s="17" customFormat="1" x14ac:dyDescent="0.25">
      <c r="B1465" s="55"/>
      <c r="C1465" s="55"/>
      <c r="F1465" s="66"/>
      <c r="G1465" s="236"/>
      <c r="I1465" s="145"/>
      <c r="J1465" s="148"/>
      <c r="K1465" s="149"/>
    </row>
    <row r="1466" spans="2:11" s="17" customFormat="1" x14ac:dyDescent="0.25">
      <c r="B1466" s="55"/>
      <c r="C1466" s="55"/>
      <c r="F1466" s="66"/>
      <c r="G1466" s="236"/>
      <c r="I1466" s="145"/>
      <c r="J1466" s="148"/>
      <c r="K1466" s="149"/>
    </row>
    <row r="1467" spans="2:11" s="17" customFormat="1" x14ac:dyDescent="0.25">
      <c r="B1467" s="55"/>
      <c r="C1467" s="55"/>
      <c r="F1467" s="66"/>
      <c r="G1467" s="236"/>
      <c r="I1467" s="145"/>
      <c r="J1467" s="148"/>
      <c r="K1467" s="149"/>
    </row>
    <row r="1468" spans="2:11" s="17" customFormat="1" x14ac:dyDescent="0.25">
      <c r="B1468" s="55"/>
      <c r="C1468" s="55"/>
      <c r="F1468" s="66"/>
      <c r="G1468" s="236"/>
      <c r="I1468" s="145"/>
      <c r="J1468" s="148"/>
      <c r="K1468" s="149"/>
    </row>
    <row r="1469" spans="2:11" s="17" customFormat="1" x14ac:dyDescent="0.25">
      <c r="B1469" s="55"/>
      <c r="C1469" s="55"/>
      <c r="F1469" s="66"/>
      <c r="G1469" s="236"/>
      <c r="I1469" s="145"/>
      <c r="J1469" s="148"/>
      <c r="K1469" s="149"/>
    </row>
    <row r="1470" spans="2:11" s="17" customFormat="1" x14ac:dyDescent="0.25">
      <c r="B1470" s="55"/>
      <c r="C1470" s="55"/>
      <c r="F1470" s="66"/>
      <c r="G1470" s="236"/>
      <c r="I1470" s="145"/>
      <c r="J1470" s="148"/>
      <c r="K1470" s="149"/>
    </row>
    <row r="1471" spans="2:11" s="17" customFormat="1" x14ac:dyDescent="0.25">
      <c r="B1471" s="55"/>
      <c r="C1471" s="55"/>
      <c r="F1471" s="66"/>
      <c r="G1471" s="236"/>
      <c r="I1471" s="145"/>
      <c r="J1471" s="148"/>
      <c r="K1471" s="149"/>
    </row>
    <row r="1472" spans="2:11" s="17" customFormat="1" x14ac:dyDescent="0.25">
      <c r="B1472" s="55"/>
      <c r="C1472" s="55"/>
      <c r="F1472" s="66"/>
      <c r="G1472" s="236"/>
      <c r="I1472" s="145"/>
      <c r="J1472" s="148"/>
      <c r="K1472" s="149"/>
    </row>
    <row r="1473" spans="2:11" s="17" customFormat="1" x14ac:dyDescent="0.25">
      <c r="B1473" s="55"/>
      <c r="C1473" s="55"/>
      <c r="F1473" s="66"/>
      <c r="G1473" s="236"/>
      <c r="I1473" s="145"/>
      <c r="J1473" s="148"/>
      <c r="K1473" s="149"/>
    </row>
    <row r="1474" spans="2:11" s="17" customFormat="1" x14ac:dyDescent="0.25">
      <c r="B1474" s="55"/>
      <c r="C1474" s="55"/>
      <c r="F1474" s="66"/>
      <c r="G1474" s="236"/>
      <c r="I1474" s="145"/>
      <c r="J1474" s="148"/>
      <c r="K1474" s="149"/>
    </row>
    <row r="1475" spans="2:11" s="17" customFormat="1" x14ac:dyDescent="0.25">
      <c r="B1475" s="55"/>
      <c r="C1475" s="55"/>
      <c r="F1475" s="66"/>
      <c r="G1475" s="236"/>
      <c r="I1475" s="145"/>
      <c r="J1475" s="148"/>
      <c r="K1475" s="149"/>
    </row>
    <row r="1476" spans="2:11" s="17" customFormat="1" x14ac:dyDescent="0.25">
      <c r="B1476" s="55"/>
      <c r="C1476" s="55"/>
      <c r="F1476" s="66"/>
      <c r="G1476" s="236"/>
      <c r="I1476" s="145"/>
      <c r="J1476" s="148"/>
      <c r="K1476" s="149"/>
    </row>
    <row r="1477" spans="2:11" s="17" customFormat="1" x14ac:dyDescent="0.25">
      <c r="B1477" s="55"/>
      <c r="C1477" s="55"/>
      <c r="F1477" s="66"/>
      <c r="G1477" s="236"/>
      <c r="I1477" s="145"/>
      <c r="J1477" s="148"/>
      <c r="K1477" s="149"/>
    </row>
    <row r="1478" spans="2:11" s="17" customFormat="1" x14ac:dyDescent="0.25">
      <c r="B1478" s="55"/>
      <c r="C1478" s="55"/>
      <c r="F1478" s="66"/>
      <c r="G1478" s="236"/>
      <c r="I1478" s="145"/>
      <c r="J1478" s="148"/>
      <c r="K1478" s="149"/>
    </row>
    <row r="1479" spans="2:11" s="17" customFormat="1" x14ac:dyDescent="0.25">
      <c r="B1479" s="55"/>
      <c r="C1479" s="55"/>
      <c r="F1479" s="66"/>
      <c r="G1479" s="236"/>
      <c r="I1479" s="145"/>
      <c r="J1479" s="148"/>
      <c r="K1479" s="149"/>
    </row>
    <row r="1480" spans="2:11" s="17" customFormat="1" x14ac:dyDescent="0.25">
      <c r="B1480" s="55"/>
      <c r="C1480" s="55"/>
      <c r="F1480" s="66"/>
      <c r="G1480" s="236"/>
      <c r="I1480" s="145"/>
      <c r="J1480" s="148"/>
      <c r="K1480" s="149"/>
    </row>
    <row r="1481" spans="2:11" s="17" customFormat="1" x14ac:dyDescent="0.25">
      <c r="B1481" s="55"/>
      <c r="C1481" s="55"/>
      <c r="F1481" s="66"/>
      <c r="G1481" s="236"/>
      <c r="I1481" s="145"/>
      <c r="J1481" s="148"/>
      <c r="K1481" s="149"/>
    </row>
    <row r="1482" spans="2:11" s="17" customFormat="1" x14ac:dyDescent="0.25">
      <c r="B1482" s="55"/>
      <c r="C1482" s="55"/>
      <c r="F1482" s="66"/>
      <c r="G1482" s="236"/>
      <c r="I1482" s="145"/>
      <c r="J1482" s="148"/>
      <c r="K1482" s="149"/>
    </row>
    <row r="1483" spans="2:11" s="17" customFormat="1" x14ac:dyDescent="0.25">
      <c r="B1483" s="55"/>
      <c r="C1483" s="55"/>
      <c r="F1483" s="66"/>
      <c r="G1483" s="236"/>
      <c r="I1483" s="145"/>
      <c r="J1483" s="148"/>
      <c r="K1483" s="149"/>
    </row>
    <row r="1484" spans="2:11" s="17" customFormat="1" x14ac:dyDescent="0.25">
      <c r="B1484" s="55"/>
      <c r="C1484" s="55"/>
      <c r="F1484" s="66"/>
      <c r="G1484" s="236"/>
      <c r="I1484" s="145"/>
      <c r="J1484" s="148"/>
      <c r="K1484" s="149"/>
    </row>
    <row r="1485" spans="2:11" s="17" customFormat="1" x14ac:dyDescent="0.25">
      <c r="B1485" s="55"/>
      <c r="C1485" s="55"/>
      <c r="F1485" s="66"/>
      <c r="G1485" s="236"/>
      <c r="I1485" s="145"/>
      <c r="J1485" s="148"/>
      <c r="K1485" s="149"/>
    </row>
    <row r="1486" spans="2:11" s="17" customFormat="1" x14ac:dyDescent="0.25">
      <c r="B1486" s="55"/>
      <c r="C1486" s="55"/>
      <c r="F1486" s="66"/>
      <c r="G1486" s="236"/>
      <c r="I1486" s="145"/>
      <c r="J1486" s="148"/>
      <c r="K1486" s="149"/>
    </row>
    <row r="1487" spans="2:11" s="17" customFormat="1" x14ac:dyDescent="0.25">
      <c r="B1487" s="55"/>
      <c r="C1487" s="55"/>
      <c r="F1487" s="66"/>
      <c r="G1487" s="236"/>
      <c r="I1487" s="145"/>
      <c r="J1487" s="148"/>
      <c r="K1487" s="149"/>
    </row>
    <row r="1488" spans="2:11" s="17" customFormat="1" x14ac:dyDescent="0.25">
      <c r="B1488" s="55"/>
      <c r="C1488" s="55"/>
      <c r="F1488" s="66"/>
      <c r="G1488" s="236"/>
      <c r="I1488" s="145"/>
      <c r="J1488" s="148"/>
      <c r="K1488" s="149"/>
    </row>
    <row r="1489" spans="2:11" s="17" customFormat="1" x14ac:dyDescent="0.25">
      <c r="B1489" s="55"/>
      <c r="C1489" s="55"/>
      <c r="F1489" s="66"/>
      <c r="G1489" s="236"/>
      <c r="I1489" s="145"/>
      <c r="J1489" s="148"/>
      <c r="K1489" s="149"/>
    </row>
    <row r="1490" spans="2:11" s="17" customFormat="1" x14ac:dyDescent="0.25">
      <c r="B1490" s="55"/>
      <c r="C1490" s="55"/>
      <c r="F1490" s="66"/>
      <c r="G1490" s="236"/>
      <c r="I1490" s="145"/>
      <c r="J1490" s="148"/>
      <c r="K1490" s="149"/>
    </row>
    <row r="1491" spans="2:11" s="17" customFormat="1" x14ac:dyDescent="0.25">
      <c r="B1491" s="55"/>
      <c r="C1491" s="55"/>
      <c r="F1491" s="66"/>
      <c r="G1491" s="236"/>
      <c r="I1491" s="145"/>
      <c r="J1491" s="148"/>
      <c r="K1491" s="149"/>
    </row>
    <row r="1492" spans="2:11" s="17" customFormat="1" x14ac:dyDescent="0.25">
      <c r="B1492" s="55"/>
      <c r="C1492" s="55"/>
      <c r="F1492" s="66"/>
      <c r="G1492" s="236"/>
      <c r="I1492" s="145"/>
      <c r="J1492" s="148"/>
      <c r="K1492" s="149"/>
    </row>
    <row r="1493" spans="2:11" s="17" customFormat="1" x14ac:dyDescent="0.25">
      <c r="B1493" s="55"/>
      <c r="C1493" s="55"/>
      <c r="F1493" s="66"/>
      <c r="G1493" s="236"/>
      <c r="I1493" s="145"/>
      <c r="J1493" s="148"/>
      <c r="K1493" s="149"/>
    </row>
    <row r="1494" spans="2:11" s="17" customFormat="1" x14ac:dyDescent="0.25">
      <c r="B1494" s="55"/>
      <c r="C1494" s="55"/>
      <c r="F1494" s="66"/>
      <c r="G1494" s="236"/>
      <c r="I1494" s="145"/>
      <c r="J1494" s="148"/>
      <c r="K1494" s="149"/>
    </row>
    <row r="1495" spans="2:11" s="17" customFormat="1" x14ac:dyDescent="0.25">
      <c r="B1495" s="55"/>
      <c r="C1495" s="55"/>
      <c r="F1495" s="66"/>
      <c r="G1495" s="236"/>
      <c r="I1495" s="145"/>
      <c r="J1495" s="148"/>
      <c r="K1495" s="149"/>
    </row>
    <row r="1496" spans="2:11" s="17" customFormat="1" x14ac:dyDescent="0.25">
      <c r="B1496" s="55"/>
      <c r="C1496" s="55"/>
      <c r="F1496" s="66"/>
      <c r="G1496" s="236"/>
      <c r="I1496" s="145"/>
      <c r="J1496" s="148"/>
      <c r="K1496" s="149"/>
    </row>
    <row r="1497" spans="2:11" s="17" customFormat="1" x14ac:dyDescent="0.25">
      <c r="B1497" s="55"/>
      <c r="C1497" s="55"/>
      <c r="F1497" s="66"/>
      <c r="G1497" s="236"/>
      <c r="I1497" s="145"/>
      <c r="J1497" s="148"/>
      <c r="K1497" s="149"/>
    </row>
    <row r="1498" spans="2:11" s="17" customFormat="1" x14ac:dyDescent="0.25">
      <c r="B1498" s="55"/>
      <c r="C1498" s="55"/>
      <c r="F1498" s="66"/>
      <c r="G1498" s="236"/>
      <c r="I1498" s="145"/>
      <c r="J1498" s="148"/>
      <c r="K1498" s="149"/>
    </row>
    <row r="1499" spans="2:11" s="17" customFormat="1" x14ac:dyDescent="0.25">
      <c r="B1499" s="55"/>
      <c r="C1499" s="55"/>
      <c r="F1499" s="66"/>
      <c r="G1499" s="236"/>
      <c r="I1499" s="145"/>
      <c r="J1499" s="148"/>
      <c r="K1499" s="149"/>
    </row>
    <row r="1500" spans="2:11" s="17" customFormat="1" x14ac:dyDescent="0.25">
      <c r="B1500" s="55"/>
      <c r="C1500" s="55"/>
      <c r="F1500" s="66"/>
      <c r="G1500" s="236"/>
      <c r="I1500" s="145"/>
      <c r="J1500" s="148"/>
      <c r="K1500" s="149"/>
    </row>
    <row r="1501" spans="2:11" s="17" customFormat="1" x14ac:dyDescent="0.25">
      <c r="B1501" s="55"/>
      <c r="C1501" s="55"/>
      <c r="F1501" s="66"/>
      <c r="G1501" s="236"/>
      <c r="I1501" s="145"/>
      <c r="J1501" s="148"/>
      <c r="K1501" s="149"/>
    </row>
    <row r="1502" spans="2:11" s="17" customFormat="1" x14ac:dyDescent="0.25">
      <c r="B1502" s="55"/>
      <c r="C1502" s="55"/>
      <c r="F1502" s="66"/>
      <c r="G1502" s="236"/>
      <c r="I1502" s="145"/>
      <c r="J1502" s="148"/>
      <c r="K1502" s="149"/>
    </row>
    <row r="1503" spans="2:11" s="17" customFormat="1" x14ac:dyDescent="0.25">
      <c r="B1503" s="55"/>
      <c r="C1503" s="55"/>
      <c r="F1503" s="66"/>
      <c r="G1503" s="236"/>
      <c r="I1503" s="145"/>
      <c r="J1503" s="148"/>
      <c r="K1503" s="149"/>
    </row>
    <row r="1504" spans="2:11" s="17" customFormat="1" x14ac:dyDescent="0.25">
      <c r="B1504" s="55"/>
      <c r="C1504" s="55"/>
      <c r="F1504" s="66"/>
      <c r="G1504" s="236"/>
      <c r="I1504" s="145"/>
      <c r="J1504" s="148"/>
      <c r="K1504" s="149"/>
    </row>
    <row r="1505" spans="2:11" s="17" customFormat="1" x14ac:dyDescent="0.25">
      <c r="B1505" s="55"/>
      <c r="C1505" s="55"/>
      <c r="F1505" s="66"/>
      <c r="G1505" s="236"/>
      <c r="I1505" s="145"/>
      <c r="J1505" s="148"/>
      <c r="K1505" s="149"/>
    </row>
    <row r="1506" spans="2:11" s="17" customFormat="1" x14ac:dyDescent="0.25">
      <c r="B1506" s="55"/>
      <c r="C1506" s="55"/>
      <c r="F1506" s="66"/>
      <c r="G1506" s="236"/>
      <c r="I1506" s="145"/>
      <c r="J1506" s="148"/>
      <c r="K1506" s="149"/>
    </row>
    <row r="1507" spans="2:11" s="17" customFormat="1" x14ac:dyDescent="0.25">
      <c r="B1507" s="55"/>
      <c r="C1507" s="55"/>
      <c r="F1507" s="66"/>
      <c r="G1507" s="236"/>
      <c r="I1507" s="145"/>
      <c r="J1507" s="148"/>
      <c r="K1507" s="149"/>
    </row>
    <row r="1508" spans="2:11" s="17" customFormat="1" x14ac:dyDescent="0.25">
      <c r="B1508" s="55"/>
      <c r="C1508" s="55"/>
      <c r="F1508" s="66"/>
      <c r="G1508" s="236"/>
      <c r="I1508" s="145"/>
      <c r="J1508" s="148"/>
      <c r="K1508" s="149"/>
    </row>
    <row r="1509" spans="2:11" s="17" customFormat="1" x14ac:dyDescent="0.25">
      <c r="B1509" s="55"/>
      <c r="C1509" s="55"/>
      <c r="F1509" s="66"/>
      <c r="G1509" s="236"/>
      <c r="I1509" s="145"/>
      <c r="J1509" s="148"/>
      <c r="K1509" s="149"/>
    </row>
    <row r="1510" spans="2:11" s="17" customFormat="1" x14ac:dyDescent="0.25">
      <c r="B1510" s="55"/>
      <c r="C1510" s="55"/>
      <c r="F1510" s="66"/>
      <c r="G1510" s="236"/>
      <c r="I1510" s="145"/>
      <c r="J1510" s="148"/>
      <c r="K1510" s="149"/>
    </row>
    <row r="1511" spans="2:11" s="17" customFormat="1" x14ac:dyDescent="0.25">
      <c r="B1511" s="55"/>
      <c r="C1511" s="55"/>
      <c r="F1511" s="66"/>
      <c r="G1511" s="236"/>
      <c r="I1511" s="145"/>
      <c r="J1511" s="148"/>
      <c r="K1511" s="149"/>
    </row>
    <row r="1512" spans="2:11" s="17" customFormat="1" x14ac:dyDescent="0.25">
      <c r="B1512" s="55"/>
      <c r="C1512" s="55"/>
      <c r="F1512" s="66"/>
      <c r="G1512" s="236"/>
      <c r="I1512" s="145"/>
      <c r="J1512" s="148"/>
      <c r="K1512" s="149"/>
    </row>
    <row r="1513" spans="2:11" s="17" customFormat="1" x14ac:dyDescent="0.25">
      <c r="B1513" s="55"/>
      <c r="C1513" s="55"/>
      <c r="F1513" s="66"/>
      <c r="G1513" s="236"/>
      <c r="I1513" s="145"/>
      <c r="J1513" s="148"/>
      <c r="K1513" s="149"/>
    </row>
    <row r="1514" spans="2:11" s="17" customFormat="1" x14ac:dyDescent="0.25">
      <c r="B1514" s="55"/>
      <c r="C1514" s="55"/>
      <c r="F1514" s="66"/>
      <c r="G1514" s="236"/>
      <c r="I1514" s="145"/>
      <c r="J1514" s="148"/>
      <c r="K1514" s="149"/>
    </row>
    <row r="1515" spans="2:11" s="17" customFormat="1" x14ac:dyDescent="0.25">
      <c r="B1515" s="55"/>
      <c r="C1515" s="55"/>
      <c r="F1515" s="66"/>
      <c r="G1515" s="236"/>
      <c r="I1515" s="145"/>
      <c r="J1515" s="148"/>
      <c r="K1515" s="149"/>
    </row>
    <row r="1516" spans="2:11" s="17" customFormat="1" x14ac:dyDescent="0.25">
      <c r="B1516" s="55"/>
      <c r="C1516" s="55"/>
      <c r="F1516" s="66"/>
      <c r="G1516" s="236"/>
      <c r="I1516" s="145"/>
      <c r="J1516" s="148"/>
      <c r="K1516" s="149"/>
    </row>
    <row r="1517" spans="2:11" s="17" customFormat="1" x14ac:dyDescent="0.25">
      <c r="B1517" s="55"/>
      <c r="C1517" s="55"/>
      <c r="F1517" s="66"/>
      <c r="G1517" s="236"/>
      <c r="I1517" s="145"/>
      <c r="J1517" s="148"/>
      <c r="K1517" s="149"/>
    </row>
    <row r="1518" spans="2:11" s="17" customFormat="1" x14ac:dyDescent="0.25">
      <c r="B1518" s="55"/>
      <c r="C1518" s="55"/>
      <c r="F1518" s="66"/>
      <c r="G1518" s="236"/>
      <c r="I1518" s="145"/>
      <c r="J1518" s="148"/>
      <c r="K1518" s="149"/>
    </row>
    <row r="1519" spans="2:11" s="17" customFormat="1" x14ac:dyDescent="0.25">
      <c r="B1519" s="55"/>
      <c r="C1519" s="55"/>
      <c r="F1519" s="66"/>
      <c r="G1519" s="236"/>
      <c r="I1519" s="145"/>
      <c r="J1519" s="148"/>
      <c r="K1519" s="149"/>
    </row>
    <row r="1520" spans="2:11" s="17" customFormat="1" x14ac:dyDescent="0.25">
      <c r="B1520" s="55"/>
      <c r="C1520" s="55"/>
      <c r="F1520" s="66"/>
      <c r="G1520" s="236"/>
      <c r="I1520" s="145"/>
      <c r="J1520" s="148"/>
      <c r="K1520" s="149"/>
    </row>
    <row r="1521" spans="2:11" s="17" customFormat="1" x14ac:dyDescent="0.25">
      <c r="B1521" s="55"/>
      <c r="C1521" s="55"/>
      <c r="F1521" s="66"/>
      <c r="G1521" s="236"/>
      <c r="I1521" s="145"/>
      <c r="J1521" s="148"/>
      <c r="K1521" s="149"/>
    </row>
    <row r="1522" spans="2:11" s="17" customFormat="1" x14ac:dyDescent="0.25">
      <c r="B1522" s="55"/>
      <c r="C1522" s="55"/>
      <c r="F1522" s="66"/>
      <c r="G1522" s="236"/>
      <c r="I1522" s="145"/>
      <c r="J1522" s="148"/>
      <c r="K1522" s="149"/>
    </row>
    <row r="1523" spans="2:11" s="17" customFormat="1" x14ac:dyDescent="0.25">
      <c r="B1523" s="55"/>
      <c r="C1523" s="55"/>
      <c r="F1523" s="66"/>
      <c r="G1523" s="236"/>
      <c r="I1523" s="145"/>
      <c r="J1523" s="148"/>
      <c r="K1523" s="149"/>
    </row>
    <row r="1524" spans="2:11" s="17" customFormat="1" x14ac:dyDescent="0.25">
      <c r="B1524" s="55"/>
      <c r="C1524" s="55"/>
      <c r="F1524" s="66"/>
      <c r="G1524" s="236"/>
      <c r="I1524" s="145"/>
      <c r="J1524" s="148"/>
      <c r="K1524" s="149"/>
    </row>
    <row r="1525" spans="2:11" s="17" customFormat="1" x14ac:dyDescent="0.25">
      <c r="B1525" s="55"/>
      <c r="C1525" s="55"/>
      <c r="F1525" s="66"/>
      <c r="G1525" s="236"/>
      <c r="I1525" s="145"/>
      <c r="J1525" s="148"/>
      <c r="K1525" s="149"/>
    </row>
    <row r="1526" spans="2:11" s="17" customFormat="1" x14ac:dyDescent="0.25">
      <c r="B1526" s="55"/>
      <c r="C1526" s="55"/>
      <c r="F1526" s="66"/>
      <c r="G1526" s="236"/>
      <c r="I1526" s="145"/>
      <c r="J1526" s="148"/>
      <c r="K1526" s="149"/>
    </row>
    <row r="1527" spans="2:11" s="17" customFormat="1" x14ac:dyDescent="0.25">
      <c r="B1527" s="55"/>
      <c r="C1527" s="55"/>
      <c r="F1527" s="66"/>
      <c r="G1527" s="236"/>
      <c r="I1527" s="145"/>
      <c r="J1527" s="148"/>
      <c r="K1527" s="149"/>
    </row>
    <row r="1528" spans="2:11" s="17" customFormat="1" x14ac:dyDescent="0.25">
      <c r="B1528" s="55"/>
      <c r="C1528" s="55"/>
      <c r="F1528" s="66"/>
      <c r="G1528" s="236"/>
      <c r="I1528" s="145"/>
      <c r="J1528" s="148"/>
      <c r="K1528" s="149"/>
    </row>
    <row r="1529" spans="2:11" s="17" customFormat="1" x14ac:dyDescent="0.25">
      <c r="B1529" s="55"/>
      <c r="C1529" s="55"/>
      <c r="F1529" s="66"/>
      <c r="G1529" s="236"/>
      <c r="I1529" s="145"/>
      <c r="J1529" s="148"/>
      <c r="K1529" s="149"/>
    </row>
    <row r="1530" spans="2:11" s="17" customFormat="1" x14ac:dyDescent="0.25">
      <c r="B1530" s="55"/>
      <c r="C1530" s="55"/>
      <c r="F1530" s="66"/>
      <c r="G1530" s="236"/>
      <c r="I1530" s="145"/>
      <c r="J1530" s="148"/>
      <c r="K1530" s="149"/>
    </row>
    <row r="1531" spans="2:11" s="17" customFormat="1" x14ac:dyDescent="0.25">
      <c r="B1531" s="55"/>
      <c r="C1531" s="55"/>
      <c r="F1531" s="66"/>
      <c r="G1531" s="236"/>
      <c r="I1531" s="145"/>
      <c r="J1531" s="148"/>
      <c r="K1531" s="149"/>
    </row>
    <row r="1532" spans="2:11" s="17" customFormat="1" x14ac:dyDescent="0.25">
      <c r="B1532" s="55"/>
      <c r="C1532" s="55"/>
      <c r="F1532" s="66"/>
      <c r="G1532" s="236"/>
      <c r="I1532" s="145"/>
      <c r="J1532" s="148"/>
      <c r="K1532" s="149"/>
    </row>
    <row r="1533" spans="2:11" s="17" customFormat="1" x14ac:dyDescent="0.25">
      <c r="B1533" s="55"/>
      <c r="C1533" s="55"/>
      <c r="F1533" s="66"/>
      <c r="G1533" s="236"/>
      <c r="I1533" s="145"/>
      <c r="J1533" s="148"/>
      <c r="K1533" s="149"/>
    </row>
    <row r="1534" spans="2:11" s="17" customFormat="1" x14ac:dyDescent="0.25">
      <c r="B1534" s="55"/>
      <c r="C1534" s="55"/>
      <c r="F1534" s="66"/>
      <c r="G1534" s="236"/>
      <c r="I1534" s="145"/>
      <c r="J1534" s="148"/>
      <c r="K1534" s="149"/>
    </row>
    <row r="1535" spans="2:11" s="17" customFormat="1" x14ac:dyDescent="0.25">
      <c r="B1535" s="55"/>
      <c r="C1535" s="55"/>
      <c r="F1535" s="66"/>
      <c r="G1535" s="236"/>
      <c r="I1535" s="145"/>
      <c r="J1535" s="148"/>
      <c r="K1535" s="149"/>
    </row>
    <row r="1536" spans="2:11" s="17" customFormat="1" x14ac:dyDescent="0.25">
      <c r="B1536" s="55"/>
      <c r="C1536" s="55"/>
      <c r="F1536" s="66"/>
      <c r="G1536" s="236"/>
      <c r="I1536" s="145"/>
      <c r="J1536" s="148"/>
      <c r="K1536" s="149"/>
    </row>
    <row r="1537" spans="2:11" s="17" customFormat="1" x14ac:dyDescent="0.25">
      <c r="B1537" s="55"/>
      <c r="C1537" s="55"/>
      <c r="F1537" s="66"/>
      <c r="G1537" s="236"/>
      <c r="I1537" s="145"/>
      <c r="J1537" s="148"/>
      <c r="K1537" s="149"/>
    </row>
    <row r="1538" spans="2:11" s="17" customFormat="1" x14ac:dyDescent="0.25">
      <c r="B1538" s="55"/>
      <c r="C1538" s="55"/>
      <c r="F1538" s="66"/>
      <c r="G1538" s="236"/>
      <c r="I1538" s="145"/>
      <c r="J1538" s="148"/>
      <c r="K1538" s="149"/>
    </row>
    <row r="1539" spans="2:11" s="17" customFormat="1" x14ac:dyDescent="0.25">
      <c r="B1539" s="55"/>
      <c r="C1539" s="55"/>
      <c r="F1539" s="66"/>
      <c r="G1539" s="236"/>
      <c r="I1539" s="145"/>
      <c r="J1539" s="148"/>
      <c r="K1539" s="149"/>
    </row>
    <row r="1540" spans="2:11" s="17" customFormat="1" x14ac:dyDescent="0.25">
      <c r="B1540" s="55"/>
      <c r="C1540" s="55"/>
      <c r="F1540" s="66"/>
      <c r="G1540" s="236"/>
      <c r="I1540" s="145"/>
      <c r="J1540" s="148"/>
      <c r="K1540" s="149"/>
    </row>
    <row r="1541" spans="2:11" s="17" customFormat="1" x14ac:dyDescent="0.25">
      <c r="B1541" s="55"/>
      <c r="C1541" s="55"/>
      <c r="F1541" s="66"/>
      <c r="G1541" s="236"/>
      <c r="I1541" s="145"/>
      <c r="J1541" s="148"/>
      <c r="K1541" s="149"/>
    </row>
    <row r="1542" spans="2:11" s="17" customFormat="1" x14ac:dyDescent="0.25">
      <c r="B1542" s="55"/>
      <c r="C1542" s="55"/>
      <c r="F1542" s="66"/>
      <c r="G1542" s="236"/>
      <c r="I1542" s="145"/>
      <c r="J1542" s="148"/>
      <c r="K1542" s="149"/>
    </row>
    <row r="1543" spans="2:11" s="17" customFormat="1" x14ac:dyDescent="0.25">
      <c r="B1543" s="55"/>
      <c r="C1543" s="55"/>
      <c r="F1543" s="66"/>
      <c r="G1543" s="236"/>
      <c r="I1543" s="145"/>
      <c r="J1543" s="148"/>
      <c r="K1543" s="149"/>
    </row>
    <row r="1544" spans="2:11" s="17" customFormat="1" x14ac:dyDescent="0.25">
      <c r="B1544" s="55"/>
      <c r="C1544" s="55"/>
      <c r="F1544" s="66"/>
      <c r="G1544" s="236"/>
      <c r="I1544" s="145"/>
      <c r="J1544" s="148"/>
      <c r="K1544" s="149"/>
    </row>
    <row r="1545" spans="2:11" s="17" customFormat="1" x14ac:dyDescent="0.25">
      <c r="B1545" s="55"/>
      <c r="C1545" s="55"/>
      <c r="F1545" s="66"/>
      <c r="G1545" s="236"/>
      <c r="I1545" s="145"/>
      <c r="J1545" s="148"/>
      <c r="K1545" s="149"/>
    </row>
    <row r="1546" spans="2:11" s="17" customFormat="1" x14ac:dyDescent="0.25">
      <c r="B1546" s="55"/>
      <c r="C1546" s="55"/>
      <c r="F1546" s="66"/>
      <c r="G1546" s="236"/>
      <c r="I1546" s="145"/>
      <c r="J1546" s="148"/>
      <c r="K1546" s="149"/>
    </row>
    <row r="1547" spans="2:11" s="17" customFormat="1" x14ac:dyDescent="0.25">
      <c r="B1547" s="55"/>
      <c r="C1547" s="55"/>
      <c r="F1547" s="66"/>
      <c r="G1547" s="236"/>
      <c r="I1547" s="145"/>
      <c r="J1547" s="148"/>
      <c r="K1547" s="149"/>
    </row>
    <row r="1548" spans="2:11" s="17" customFormat="1" x14ac:dyDescent="0.25">
      <c r="B1548" s="55"/>
      <c r="C1548" s="55"/>
      <c r="F1548" s="66"/>
      <c r="G1548" s="236"/>
      <c r="I1548" s="145"/>
      <c r="J1548" s="148"/>
      <c r="K1548" s="149"/>
    </row>
    <row r="1549" spans="2:11" s="17" customFormat="1" x14ac:dyDescent="0.25">
      <c r="B1549" s="55"/>
      <c r="C1549" s="55"/>
      <c r="F1549" s="66"/>
      <c r="G1549" s="236"/>
      <c r="I1549" s="145"/>
      <c r="J1549" s="148"/>
      <c r="K1549" s="149"/>
    </row>
    <row r="1550" spans="2:11" s="17" customFormat="1" x14ac:dyDescent="0.25">
      <c r="B1550" s="55"/>
      <c r="C1550" s="55"/>
      <c r="F1550" s="66"/>
      <c r="G1550" s="236"/>
      <c r="I1550" s="145"/>
      <c r="J1550" s="148"/>
      <c r="K1550" s="149"/>
    </row>
    <row r="1551" spans="2:11" s="17" customFormat="1" x14ac:dyDescent="0.25">
      <c r="B1551" s="55"/>
      <c r="C1551" s="55"/>
      <c r="F1551" s="66"/>
      <c r="G1551" s="236"/>
      <c r="I1551" s="145"/>
      <c r="J1551" s="148"/>
      <c r="K1551" s="149"/>
    </row>
    <row r="1552" spans="2:11" s="17" customFormat="1" x14ac:dyDescent="0.25">
      <c r="B1552" s="55"/>
      <c r="C1552" s="55"/>
      <c r="F1552" s="66"/>
      <c r="G1552" s="236"/>
      <c r="I1552" s="145"/>
      <c r="J1552" s="148"/>
      <c r="K1552" s="149"/>
    </row>
    <row r="1553" spans="2:11" s="17" customFormat="1" x14ac:dyDescent="0.25">
      <c r="B1553" s="55"/>
      <c r="C1553" s="55"/>
      <c r="F1553" s="66"/>
      <c r="G1553" s="236"/>
      <c r="I1553" s="145"/>
      <c r="J1553" s="148"/>
      <c r="K1553" s="149"/>
    </row>
    <row r="1554" spans="2:11" s="17" customFormat="1" x14ac:dyDescent="0.25">
      <c r="B1554" s="55"/>
      <c r="C1554" s="55"/>
      <c r="F1554" s="66"/>
      <c r="G1554" s="236"/>
      <c r="I1554" s="145"/>
      <c r="J1554" s="148"/>
      <c r="K1554" s="149"/>
    </row>
    <row r="1555" spans="2:11" s="17" customFormat="1" x14ac:dyDescent="0.25">
      <c r="B1555" s="55"/>
      <c r="C1555" s="55"/>
      <c r="F1555" s="66"/>
      <c r="G1555" s="236"/>
      <c r="I1555" s="145"/>
      <c r="J1555" s="148"/>
      <c r="K1555" s="149"/>
    </row>
    <row r="1556" spans="2:11" s="17" customFormat="1" x14ac:dyDescent="0.25">
      <c r="B1556" s="55"/>
      <c r="C1556" s="55"/>
      <c r="F1556" s="66"/>
      <c r="G1556" s="236"/>
      <c r="I1556" s="145"/>
      <c r="J1556" s="148"/>
      <c r="K1556" s="149"/>
    </row>
    <row r="1557" spans="2:11" s="17" customFormat="1" x14ac:dyDescent="0.25">
      <c r="B1557" s="55"/>
      <c r="C1557" s="55"/>
      <c r="F1557" s="66"/>
      <c r="G1557" s="236"/>
      <c r="I1557" s="145"/>
      <c r="J1557" s="148"/>
      <c r="K1557" s="149"/>
    </row>
    <row r="1558" spans="2:11" s="17" customFormat="1" x14ac:dyDescent="0.25">
      <c r="B1558" s="55"/>
      <c r="C1558" s="55"/>
      <c r="F1558" s="66"/>
      <c r="G1558" s="236"/>
      <c r="I1558" s="145"/>
      <c r="J1558" s="148"/>
      <c r="K1558" s="149"/>
    </row>
    <row r="1559" spans="2:11" s="17" customFormat="1" x14ac:dyDescent="0.25">
      <c r="B1559" s="55"/>
      <c r="C1559" s="55"/>
      <c r="F1559" s="66"/>
      <c r="G1559" s="236"/>
      <c r="I1559" s="145"/>
      <c r="J1559" s="148"/>
      <c r="K1559" s="149"/>
    </row>
    <row r="1560" spans="2:11" s="17" customFormat="1" x14ac:dyDescent="0.25">
      <c r="B1560" s="55"/>
      <c r="C1560" s="55"/>
      <c r="F1560" s="66"/>
      <c r="G1560" s="236"/>
      <c r="I1560" s="145"/>
      <c r="J1560" s="148"/>
      <c r="K1560" s="149"/>
    </row>
    <row r="1561" spans="2:11" s="17" customFormat="1" x14ac:dyDescent="0.25">
      <c r="B1561" s="55"/>
      <c r="C1561" s="55"/>
      <c r="F1561" s="66"/>
      <c r="G1561" s="236"/>
      <c r="I1561" s="145"/>
      <c r="J1561" s="148"/>
      <c r="K1561" s="149"/>
    </row>
    <row r="1562" spans="2:11" s="17" customFormat="1" x14ac:dyDescent="0.25">
      <c r="B1562" s="55"/>
      <c r="C1562" s="55"/>
      <c r="F1562" s="66"/>
      <c r="G1562" s="236"/>
      <c r="I1562" s="145"/>
      <c r="J1562" s="148"/>
      <c r="K1562" s="149"/>
    </row>
    <row r="1563" spans="2:11" s="17" customFormat="1" x14ac:dyDescent="0.25">
      <c r="B1563" s="55"/>
      <c r="C1563" s="55"/>
      <c r="F1563" s="66"/>
      <c r="G1563" s="236"/>
      <c r="I1563" s="145"/>
      <c r="J1563" s="148"/>
      <c r="K1563" s="149"/>
    </row>
    <row r="1564" spans="2:11" s="17" customFormat="1" x14ac:dyDescent="0.25">
      <c r="B1564" s="55"/>
      <c r="C1564" s="55"/>
      <c r="F1564" s="66"/>
      <c r="G1564" s="236"/>
      <c r="I1564" s="145"/>
      <c r="J1564" s="148"/>
      <c r="K1564" s="149"/>
    </row>
    <row r="1565" spans="2:11" s="17" customFormat="1" x14ac:dyDescent="0.25">
      <c r="B1565" s="55"/>
      <c r="C1565" s="55"/>
      <c r="F1565" s="66"/>
      <c r="G1565" s="236"/>
      <c r="I1565" s="145"/>
      <c r="J1565" s="148"/>
      <c r="K1565" s="149"/>
    </row>
    <row r="1566" spans="2:11" s="17" customFormat="1" x14ac:dyDescent="0.25">
      <c r="B1566" s="55"/>
      <c r="C1566" s="55"/>
      <c r="F1566" s="66"/>
      <c r="G1566" s="236"/>
      <c r="I1566" s="145"/>
      <c r="J1566" s="148"/>
      <c r="K1566" s="149"/>
    </row>
    <row r="1567" spans="2:11" s="17" customFormat="1" x14ac:dyDescent="0.25">
      <c r="B1567" s="55"/>
      <c r="C1567" s="55"/>
      <c r="F1567" s="66"/>
      <c r="G1567" s="236"/>
      <c r="I1567" s="145"/>
      <c r="J1567" s="148"/>
      <c r="K1567" s="149"/>
    </row>
    <row r="1568" spans="2:11" s="17" customFormat="1" x14ac:dyDescent="0.25">
      <c r="B1568" s="55"/>
      <c r="C1568" s="55"/>
      <c r="F1568" s="66"/>
      <c r="G1568" s="236"/>
      <c r="I1568" s="145"/>
      <c r="J1568" s="148"/>
      <c r="K1568" s="149"/>
    </row>
    <row r="1569" spans="2:11" s="17" customFormat="1" x14ac:dyDescent="0.25">
      <c r="B1569" s="55"/>
      <c r="C1569" s="55"/>
      <c r="F1569" s="66"/>
      <c r="G1569" s="236"/>
      <c r="I1569" s="145"/>
      <c r="J1569" s="148"/>
      <c r="K1569" s="149"/>
    </row>
    <row r="1570" spans="2:11" s="17" customFormat="1" x14ac:dyDescent="0.25">
      <c r="B1570" s="55"/>
      <c r="C1570" s="55"/>
      <c r="F1570" s="66"/>
      <c r="G1570" s="236"/>
      <c r="I1570" s="145"/>
      <c r="J1570" s="148"/>
      <c r="K1570" s="149"/>
    </row>
    <row r="1571" spans="2:11" s="17" customFormat="1" x14ac:dyDescent="0.25">
      <c r="B1571" s="55"/>
      <c r="C1571" s="55"/>
      <c r="F1571" s="66"/>
      <c r="G1571" s="236"/>
      <c r="I1571" s="145"/>
      <c r="J1571" s="148"/>
      <c r="K1571" s="149"/>
    </row>
    <row r="1572" spans="2:11" s="17" customFormat="1" x14ac:dyDescent="0.25">
      <c r="B1572" s="55"/>
      <c r="C1572" s="55"/>
      <c r="F1572" s="66"/>
      <c r="G1572" s="236"/>
      <c r="I1572" s="145"/>
      <c r="J1572" s="148"/>
      <c r="K1572" s="149"/>
    </row>
    <row r="1573" spans="2:11" s="17" customFormat="1" x14ac:dyDescent="0.25">
      <c r="B1573" s="55"/>
      <c r="C1573" s="55"/>
      <c r="F1573" s="66"/>
      <c r="G1573" s="236"/>
      <c r="I1573" s="145"/>
      <c r="J1573" s="148"/>
      <c r="K1573" s="149"/>
    </row>
    <row r="1574" spans="2:11" s="17" customFormat="1" x14ac:dyDescent="0.25">
      <c r="B1574" s="55"/>
      <c r="C1574" s="55"/>
      <c r="F1574" s="66"/>
      <c r="G1574" s="236"/>
      <c r="I1574" s="145"/>
      <c r="J1574" s="148"/>
      <c r="K1574" s="149"/>
    </row>
    <row r="1575" spans="2:11" s="17" customFormat="1" x14ac:dyDescent="0.25">
      <c r="B1575" s="55"/>
      <c r="C1575" s="55"/>
      <c r="F1575" s="66"/>
      <c r="G1575" s="236"/>
      <c r="I1575" s="145"/>
      <c r="J1575" s="148"/>
      <c r="K1575" s="149"/>
    </row>
    <row r="1576" spans="2:11" s="17" customFormat="1" x14ac:dyDescent="0.25">
      <c r="B1576" s="55"/>
      <c r="C1576" s="55"/>
      <c r="F1576" s="66"/>
      <c r="G1576" s="236"/>
      <c r="I1576" s="145"/>
      <c r="J1576" s="148"/>
      <c r="K1576" s="149"/>
    </row>
    <row r="1577" spans="2:11" s="17" customFormat="1" x14ac:dyDescent="0.25">
      <c r="B1577" s="55"/>
      <c r="C1577" s="55"/>
      <c r="F1577" s="66"/>
      <c r="G1577" s="236"/>
      <c r="I1577" s="145"/>
      <c r="J1577" s="148"/>
      <c r="K1577" s="149"/>
    </row>
    <row r="1578" spans="2:11" s="17" customFormat="1" x14ac:dyDescent="0.25">
      <c r="B1578" s="55"/>
      <c r="C1578" s="55"/>
      <c r="F1578" s="66"/>
      <c r="G1578" s="236"/>
      <c r="I1578" s="145"/>
      <c r="J1578" s="148"/>
      <c r="K1578" s="149"/>
    </row>
    <row r="1579" spans="2:11" s="17" customFormat="1" x14ac:dyDescent="0.25">
      <c r="B1579" s="55"/>
      <c r="C1579" s="55"/>
      <c r="F1579" s="66"/>
      <c r="G1579" s="236"/>
      <c r="I1579" s="145"/>
      <c r="J1579" s="148"/>
      <c r="K1579" s="149"/>
    </row>
    <row r="1580" spans="2:11" s="17" customFormat="1" x14ac:dyDescent="0.25">
      <c r="B1580" s="55"/>
      <c r="C1580" s="55"/>
      <c r="F1580" s="66"/>
      <c r="G1580" s="236"/>
      <c r="I1580" s="145"/>
      <c r="J1580" s="148"/>
      <c r="K1580" s="149"/>
    </row>
    <row r="1581" spans="2:11" s="17" customFormat="1" x14ac:dyDescent="0.25">
      <c r="B1581" s="55"/>
      <c r="C1581" s="55"/>
      <c r="F1581" s="66"/>
      <c r="G1581" s="236"/>
      <c r="I1581" s="145"/>
      <c r="J1581" s="148"/>
      <c r="K1581" s="149"/>
    </row>
    <row r="1582" spans="2:11" s="17" customFormat="1" x14ac:dyDescent="0.25">
      <c r="B1582" s="55"/>
      <c r="C1582" s="55"/>
      <c r="F1582" s="66"/>
      <c r="G1582" s="236"/>
      <c r="I1582" s="145"/>
      <c r="J1582" s="148"/>
      <c r="K1582" s="149"/>
    </row>
    <row r="1583" spans="2:11" s="17" customFormat="1" x14ac:dyDescent="0.25">
      <c r="B1583" s="55"/>
      <c r="C1583" s="55"/>
      <c r="F1583" s="66"/>
      <c r="G1583" s="236"/>
      <c r="I1583" s="145"/>
      <c r="J1583" s="148"/>
      <c r="K1583" s="149"/>
    </row>
    <row r="1584" spans="2:11" s="17" customFormat="1" x14ac:dyDescent="0.25">
      <c r="B1584" s="55"/>
      <c r="C1584" s="55"/>
      <c r="F1584" s="66"/>
      <c r="G1584" s="236"/>
      <c r="I1584" s="145"/>
      <c r="J1584" s="148"/>
      <c r="K1584" s="149"/>
    </row>
    <row r="1585" spans="2:11" s="17" customFormat="1" x14ac:dyDescent="0.25">
      <c r="B1585" s="55"/>
      <c r="C1585" s="55"/>
      <c r="F1585" s="66"/>
      <c r="G1585" s="236"/>
      <c r="I1585" s="145"/>
      <c r="J1585" s="148"/>
      <c r="K1585" s="149"/>
    </row>
    <row r="1586" spans="2:11" s="17" customFormat="1" x14ac:dyDescent="0.25">
      <c r="B1586" s="55"/>
      <c r="C1586" s="55"/>
      <c r="F1586" s="66"/>
      <c r="G1586" s="236"/>
      <c r="I1586" s="145"/>
      <c r="J1586" s="148"/>
      <c r="K1586" s="149"/>
    </row>
    <row r="1587" spans="2:11" s="17" customFormat="1" x14ac:dyDescent="0.25">
      <c r="B1587" s="55"/>
      <c r="C1587" s="55"/>
      <c r="F1587" s="66"/>
      <c r="G1587" s="236"/>
      <c r="I1587" s="145"/>
      <c r="J1587" s="148"/>
      <c r="K1587" s="149"/>
    </row>
    <row r="1588" spans="2:11" s="17" customFormat="1" x14ac:dyDescent="0.25">
      <c r="B1588" s="55"/>
      <c r="C1588" s="55"/>
      <c r="F1588" s="66"/>
      <c r="G1588" s="236"/>
      <c r="I1588" s="145"/>
      <c r="J1588" s="148"/>
      <c r="K1588" s="149"/>
    </row>
    <row r="1589" spans="2:11" s="17" customFormat="1" x14ac:dyDescent="0.25">
      <c r="B1589" s="55"/>
      <c r="C1589" s="55"/>
      <c r="F1589" s="66"/>
      <c r="G1589" s="236"/>
      <c r="I1589" s="145"/>
      <c r="J1589" s="148"/>
      <c r="K1589" s="149"/>
    </row>
    <row r="1590" spans="2:11" s="17" customFormat="1" x14ac:dyDescent="0.25">
      <c r="B1590" s="55"/>
      <c r="C1590" s="55"/>
      <c r="F1590" s="66"/>
      <c r="G1590" s="236"/>
      <c r="I1590" s="145"/>
      <c r="J1590" s="148"/>
      <c r="K1590" s="149"/>
    </row>
    <row r="1591" spans="2:11" s="17" customFormat="1" x14ac:dyDescent="0.25">
      <c r="B1591" s="55"/>
      <c r="C1591" s="55"/>
      <c r="F1591" s="66"/>
      <c r="G1591" s="236"/>
      <c r="I1591" s="145"/>
      <c r="J1591" s="148"/>
      <c r="K1591" s="149"/>
    </row>
    <row r="1592" spans="2:11" s="17" customFormat="1" x14ac:dyDescent="0.25">
      <c r="B1592" s="55"/>
      <c r="C1592" s="55"/>
      <c r="F1592" s="66"/>
      <c r="G1592" s="236"/>
      <c r="I1592" s="145"/>
      <c r="J1592" s="148"/>
      <c r="K1592" s="149"/>
    </row>
    <row r="1593" spans="2:11" s="17" customFormat="1" x14ac:dyDescent="0.25">
      <c r="B1593" s="55"/>
      <c r="C1593" s="55"/>
      <c r="F1593" s="66"/>
      <c r="G1593" s="236"/>
      <c r="I1593" s="145"/>
      <c r="J1593" s="148"/>
      <c r="K1593" s="149"/>
    </row>
    <row r="1594" spans="2:11" s="17" customFormat="1" x14ac:dyDescent="0.25">
      <c r="B1594" s="55"/>
      <c r="C1594" s="55"/>
      <c r="F1594" s="66"/>
      <c r="G1594" s="236"/>
      <c r="I1594" s="145"/>
      <c r="J1594" s="148"/>
      <c r="K1594" s="149"/>
    </row>
    <row r="1595" spans="2:11" s="17" customFormat="1" x14ac:dyDescent="0.25">
      <c r="B1595" s="55"/>
      <c r="C1595" s="55"/>
      <c r="F1595" s="66"/>
      <c r="G1595" s="236"/>
      <c r="I1595" s="145"/>
      <c r="J1595" s="148"/>
      <c r="K1595" s="149"/>
    </row>
    <row r="1596" spans="2:11" s="17" customFormat="1" x14ac:dyDescent="0.25">
      <c r="B1596" s="55"/>
      <c r="C1596" s="55"/>
      <c r="F1596" s="66"/>
      <c r="G1596" s="236"/>
      <c r="I1596" s="145"/>
      <c r="J1596" s="148"/>
      <c r="K1596" s="149"/>
    </row>
    <row r="1597" spans="2:11" s="17" customFormat="1" x14ac:dyDescent="0.25">
      <c r="B1597" s="55"/>
      <c r="C1597" s="55"/>
      <c r="F1597" s="66"/>
      <c r="G1597" s="236"/>
      <c r="I1597" s="145"/>
      <c r="J1597" s="148"/>
      <c r="K1597" s="149"/>
    </row>
    <row r="1598" spans="2:11" s="17" customFormat="1" x14ac:dyDescent="0.25">
      <c r="B1598" s="55"/>
      <c r="C1598" s="55"/>
      <c r="F1598" s="66"/>
      <c r="G1598" s="236"/>
      <c r="I1598" s="145"/>
      <c r="J1598" s="148"/>
      <c r="K1598" s="149"/>
    </row>
    <row r="1599" spans="2:11" s="17" customFormat="1" x14ac:dyDescent="0.25">
      <c r="B1599" s="55"/>
      <c r="C1599" s="55"/>
      <c r="F1599" s="66"/>
      <c r="G1599" s="236"/>
      <c r="I1599" s="145"/>
      <c r="J1599" s="148"/>
      <c r="K1599" s="149"/>
    </row>
    <row r="1600" spans="2:11" s="17" customFormat="1" x14ac:dyDescent="0.25">
      <c r="B1600" s="55"/>
      <c r="C1600" s="55"/>
      <c r="F1600" s="66"/>
      <c r="G1600" s="236"/>
      <c r="I1600" s="145"/>
      <c r="J1600" s="148"/>
      <c r="K1600" s="149"/>
    </row>
    <row r="1601" spans="2:11" s="17" customFormat="1" x14ac:dyDescent="0.25">
      <c r="B1601" s="55"/>
      <c r="C1601" s="55"/>
      <c r="F1601" s="66"/>
      <c r="G1601" s="236"/>
      <c r="I1601" s="145"/>
      <c r="J1601" s="148"/>
      <c r="K1601" s="149"/>
    </row>
    <row r="1602" spans="2:11" s="17" customFormat="1" x14ac:dyDescent="0.25">
      <c r="B1602" s="55"/>
      <c r="C1602" s="55"/>
      <c r="F1602" s="66"/>
      <c r="G1602" s="236"/>
      <c r="I1602" s="145"/>
      <c r="J1602" s="148"/>
      <c r="K1602" s="149"/>
    </row>
    <row r="1603" spans="2:11" s="17" customFormat="1" x14ac:dyDescent="0.25">
      <c r="B1603" s="55"/>
      <c r="C1603" s="55"/>
      <c r="F1603" s="66"/>
      <c r="G1603" s="236"/>
      <c r="I1603" s="145"/>
      <c r="J1603" s="148"/>
      <c r="K1603" s="149"/>
    </row>
    <row r="1604" spans="2:11" s="17" customFormat="1" x14ac:dyDescent="0.25">
      <c r="B1604" s="55"/>
      <c r="C1604" s="55"/>
      <c r="F1604" s="66"/>
      <c r="G1604" s="236"/>
      <c r="I1604" s="145"/>
      <c r="J1604" s="148"/>
      <c r="K1604" s="149"/>
    </row>
    <row r="1605" spans="2:11" s="17" customFormat="1" x14ac:dyDescent="0.25">
      <c r="B1605" s="55"/>
      <c r="C1605" s="55"/>
      <c r="F1605" s="66"/>
      <c r="G1605" s="236"/>
      <c r="I1605" s="145"/>
      <c r="J1605" s="148"/>
      <c r="K1605" s="149"/>
    </row>
    <row r="1606" spans="2:11" s="17" customFormat="1" x14ac:dyDescent="0.25">
      <c r="B1606" s="55"/>
      <c r="C1606" s="55"/>
      <c r="F1606" s="66"/>
      <c r="G1606" s="236"/>
      <c r="I1606" s="145"/>
      <c r="J1606" s="148"/>
      <c r="K1606" s="149"/>
    </row>
    <row r="1607" spans="2:11" s="17" customFormat="1" x14ac:dyDescent="0.25">
      <c r="B1607" s="55"/>
      <c r="C1607" s="55"/>
      <c r="F1607" s="66"/>
      <c r="G1607" s="236"/>
      <c r="I1607" s="145"/>
      <c r="J1607" s="148"/>
      <c r="K1607" s="149"/>
    </row>
    <row r="1608" spans="2:11" s="17" customFormat="1" x14ac:dyDescent="0.25">
      <c r="B1608" s="55"/>
      <c r="C1608" s="55"/>
      <c r="F1608" s="66"/>
      <c r="G1608" s="236"/>
      <c r="I1608" s="145"/>
      <c r="J1608" s="148"/>
      <c r="K1608" s="149"/>
    </row>
    <row r="1609" spans="2:11" s="17" customFormat="1" x14ac:dyDescent="0.25">
      <c r="B1609" s="55"/>
      <c r="C1609" s="55"/>
      <c r="F1609" s="66"/>
      <c r="G1609" s="236"/>
      <c r="I1609" s="145"/>
      <c r="J1609" s="148"/>
      <c r="K1609" s="149"/>
    </row>
    <row r="1610" spans="2:11" s="17" customFormat="1" x14ac:dyDescent="0.25">
      <c r="B1610" s="55"/>
      <c r="C1610" s="55"/>
      <c r="F1610" s="66"/>
      <c r="G1610" s="236"/>
      <c r="I1610" s="145"/>
      <c r="J1610" s="148"/>
      <c r="K1610" s="149"/>
    </row>
    <row r="1611" spans="2:11" s="17" customFormat="1" x14ac:dyDescent="0.25">
      <c r="B1611" s="55"/>
      <c r="C1611" s="55"/>
      <c r="F1611" s="66"/>
      <c r="G1611" s="236"/>
      <c r="I1611" s="145"/>
      <c r="J1611" s="148"/>
      <c r="K1611" s="149"/>
    </row>
    <row r="1612" spans="2:11" s="17" customFormat="1" x14ac:dyDescent="0.25">
      <c r="B1612" s="55"/>
      <c r="C1612" s="55"/>
      <c r="F1612" s="66"/>
      <c r="G1612" s="236"/>
      <c r="I1612" s="145"/>
      <c r="J1612" s="148"/>
      <c r="K1612" s="149"/>
    </row>
    <row r="1613" spans="2:11" s="17" customFormat="1" x14ac:dyDescent="0.25">
      <c r="B1613" s="55"/>
      <c r="C1613" s="55"/>
      <c r="F1613" s="66"/>
      <c r="G1613" s="236"/>
      <c r="I1613" s="145"/>
      <c r="J1613" s="148"/>
      <c r="K1613" s="149"/>
    </row>
    <row r="1614" spans="2:11" s="17" customFormat="1" x14ac:dyDescent="0.25">
      <c r="B1614" s="55"/>
      <c r="C1614" s="55"/>
      <c r="F1614" s="66"/>
      <c r="G1614" s="236"/>
      <c r="I1614" s="145"/>
      <c r="J1614" s="148"/>
      <c r="K1614" s="149"/>
    </row>
    <row r="1615" spans="2:11" s="17" customFormat="1" x14ac:dyDescent="0.25">
      <c r="B1615" s="55"/>
      <c r="C1615" s="55"/>
      <c r="F1615" s="66"/>
      <c r="G1615" s="236"/>
      <c r="I1615" s="145"/>
      <c r="J1615" s="148"/>
      <c r="K1615" s="149"/>
    </row>
    <row r="1616" spans="2:11" s="17" customFormat="1" x14ac:dyDescent="0.25">
      <c r="B1616" s="55"/>
      <c r="C1616" s="55"/>
      <c r="F1616" s="66"/>
      <c r="G1616" s="236"/>
      <c r="I1616" s="145"/>
      <c r="J1616" s="148"/>
      <c r="K1616" s="149"/>
    </row>
    <row r="1617" spans="2:11" s="17" customFormat="1" x14ac:dyDescent="0.25">
      <c r="B1617" s="55"/>
      <c r="C1617" s="55"/>
      <c r="F1617" s="66"/>
      <c r="G1617" s="236"/>
      <c r="I1617" s="145"/>
      <c r="J1617" s="148"/>
      <c r="K1617" s="149"/>
    </row>
    <row r="1618" spans="2:11" s="17" customFormat="1" x14ac:dyDescent="0.25">
      <c r="B1618" s="55"/>
      <c r="C1618" s="55"/>
      <c r="F1618" s="66"/>
      <c r="G1618" s="236"/>
      <c r="I1618" s="145"/>
      <c r="J1618" s="148"/>
      <c r="K1618" s="149"/>
    </row>
    <row r="1619" spans="2:11" s="17" customFormat="1" x14ac:dyDescent="0.25">
      <c r="B1619" s="55"/>
      <c r="C1619" s="55"/>
      <c r="F1619" s="66"/>
      <c r="G1619" s="236"/>
      <c r="I1619" s="145"/>
      <c r="J1619" s="148"/>
      <c r="K1619" s="149"/>
    </row>
    <row r="1620" spans="2:11" s="17" customFormat="1" x14ac:dyDescent="0.25">
      <c r="B1620" s="55"/>
      <c r="C1620" s="55"/>
      <c r="F1620" s="66"/>
      <c r="G1620" s="236"/>
      <c r="I1620" s="145"/>
      <c r="J1620" s="148"/>
      <c r="K1620" s="149"/>
    </row>
    <row r="1621" spans="2:11" s="17" customFormat="1" x14ac:dyDescent="0.25">
      <c r="B1621" s="55"/>
      <c r="C1621" s="55"/>
      <c r="F1621" s="66"/>
      <c r="G1621" s="236"/>
      <c r="I1621" s="145"/>
      <c r="J1621" s="148"/>
      <c r="K1621" s="149"/>
    </row>
    <row r="1622" spans="2:11" s="17" customFormat="1" x14ac:dyDescent="0.25">
      <c r="B1622" s="55"/>
      <c r="C1622" s="55"/>
      <c r="F1622" s="66"/>
      <c r="G1622" s="236"/>
      <c r="I1622" s="145"/>
      <c r="J1622" s="148"/>
      <c r="K1622" s="149"/>
    </row>
    <row r="1623" spans="2:11" s="17" customFormat="1" x14ac:dyDescent="0.25">
      <c r="B1623" s="55"/>
      <c r="C1623" s="55"/>
      <c r="F1623" s="66"/>
      <c r="G1623" s="236"/>
      <c r="I1623" s="145"/>
      <c r="J1623" s="148"/>
      <c r="K1623" s="149"/>
    </row>
    <row r="1624" spans="2:11" s="17" customFormat="1" x14ac:dyDescent="0.25">
      <c r="B1624" s="55"/>
      <c r="C1624" s="55"/>
      <c r="F1624" s="66"/>
      <c r="G1624" s="236"/>
      <c r="I1624" s="145"/>
      <c r="J1624" s="148"/>
      <c r="K1624" s="149"/>
    </row>
    <row r="1625" spans="2:11" s="17" customFormat="1" x14ac:dyDescent="0.25">
      <c r="B1625" s="55"/>
      <c r="C1625" s="55"/>
      <c r="F1625" s="66"/>
      <c r="G1625" s="236"/>
      <c r="I1625" s="145"/>
      <c r="J1625" s="148"/>
      <c r="K1625" s="149"/>
    </row>
    <row r="1626" spans="2:11" s="17" customFormat="1" x14ac:dyDescent="0.25">
      <c r="B1626" s="55"/>
      <c r="C1626" s="55"/>
      <c r="F1626" s="66"/>
      <c r="G1626" s="236"/>
      <c r="I1626" s="145"/>
      <c r="J1626" s="148"/>
      <c r="K1626" s="149"/>
    </row>
    <row r="1627" spans="2:11" s="17" customFormat="1" x14ac:dyDescent="0.25">
      <c r="B1627" s="55"/>
      <c r="C1627" s="55"/>
      <c r="F1627" s="66"/>
      <c r="G1627" s="236"/>
      <c r="I1627" s="145"/>
      <c r="J1627" s="148"/>
      <c r="K1627" s="149"/>
    </row>
    <row r="1628" spans="2:11" s="17" customFormat="1" x14ac:dyDescent="0.25">
      <c r="B1628" s="55"/>
      <c r="C1628" s="55"/>
      <c r="F1628" s="66"/>
      <c r="G1628" s="236"/>
      <c r="I1628" s="145"/>
      <c r="J1628" s="148"/>
      <c r="K1628" s="149"/>
    </row>
    <row r="1629" spans="2:11" s="17" customFormat="1" x14ac:dyDescent="0.25">
      <c r="B1629" s="55"/>
      <c r="C1629" s="55"/>
      <c r="F1629" s="66"/>
      <c r="G1629" s="236"/>
      <c r="I1629" s="145"/>
      <c r="J1629" s="148"/>
      <c r="K1629" s="149"/>
    </row>
    <row r="1630" spans="2:11" s="17" customFormat="1" x14ac:dyDescent="0.25">
      <c r="B1630" s="55"/>
      <c r="C1630" s="55"/>
      <c r="F1630" s="66"/>
      <c r="G1630" s="236"/>
      <c r="I1630" s="145"/>
      <c r="J1630" s="148"/>
      <c r="K1630" s="149"/>
    </row>
    <row r="1631" spans="2:11" s="17" customFormat="1" x14ac:dyDescent="0.25">
      <c r="B1631" s="55"/>
      <c r="C1631" s="55"/>
      <c r="F1631" s="66"/>
      <c r="G1631" s="236"/>
      <c r="I1631" s="145"/>
      <c r="J1631" s="148"/>
      <c r="K1631" s="149"/>
    </row>
    <row r="1632" spans="2:11" s="17" customFormat="1" x14ac:dyDescent="0.25">
      <c r="B1632" s="55"/>
      <c r="C1632" s="55"/>
      <c r="F1632" s="66"/>
      <c r="G1632" s="236"/>
      <c r="I1632" s="145"/>
      <c r="J1632" s="148"/>
      <c r="K1632" s="149"/>
    </row>
    <row r="1633" spans="2:11" s="17" customFormat="1" x14ac:dyDescent="0.25">
      <c r="B1633" s="55"/>
      <c r="C1633" s="55"/>
      <c r="F1633" s="66"/>
      <c r="G1633" s="236"/>
      <c r="I1633" s="145"/>
      <c r="J1633" s="148"/>
      <c r="K1633" s="149"/>
    </row>
    <row r="1634" spans="2:11" s="17" customFormat="1" x14ac:dyDescent="0.25">
      <c r="B1634" s="55"/>
      <c r="C1634" s="55"/>
      <c r="F1634" s="66"/>
      <c r="G1634" s="236"/>
      <c r="I1634" s="145"/>
      <c r="J1634" s="148"/>
      <c r="K1634" s="149"/>
    </row>
    <row r="1635" spans="2:11" s="17" customFormat="1" x14ac:dyDescent="0.25">
      <c r="B1635" s="55"/>
      <c r="C1635" s="55"/>
      <c r="F1635" s="66"/>
      <c r="G1635" s="236"/>
      <c r="I1635" s="145"/>
      <c r="J1635" s="148"/>
      <c r="K1635" s="149"/>
    </row>
    <row r="1636" spans="2:11" s="17" customFormat="1" x14ac:dyDescent="0.25">
      <c r="B1636" s="55"/>
      <c r="C1636" s="55"/>
      <c r="F1636" s="66"/>
      <c r="G1636" s="236"/>
      <c r="I1636" s="145"/>
      <c r="J1636" s="148"/>
      <c r="K1636" s="149"/>
    </row>
    <row r="1637" spans="2:11" s="17" customFormat="1" x14ac:dyDescent="0.25">
      <c r="B1637" s="55"/>
      <c r="C1637" s="55"/>
      <c r="F1637" s="66"/>
      <c r="G1637" s="236"/>
      <c r="I1637" s="145"/>
      <c r="J1637" s="148"/>
      <c r="K1637" s="149"/>
    </row>
    <row r="1638" spans="2:11" s="17" customFormat="1" x14ac:dyDescent="0.25">
      <c r="B1638" s="55"/>
      <c r="C1638" s="55"/>
      <c r="F1638" s="66"/>
      <c r="G1638" s="236"/>
      <c r="I1638" s="145"/>
      <c r="J1638" s="148"/>
      <c r="K1638" s="149"/>
    </row>
    <row r="1639" spans="2:11" s="17" customFormat="1" x14ac:dyDescent="0.25">
      <c r="B1639" s="55"/>
      <c r="C1639" s="55"/>
      <c r="F1639" s="66"/>
      <c r="G1639" s="236"/>
      <c r="I1639" s="145"/>
      <c r="J1639" s="148"/>
      <c r="K1639" s="149"/>
    </row>
    <row r="1640" spans="2:11" s="17" customFormat="1" x14ac:dyDescent="0.25">
      <c r="B1640" s="55"/>
      <c r="C1640" s="55"/>
      <c r="F1640" s="66"/>
      <c r="G1640" s="236"/>
      <c r="I1640" s="145"/>
      <c r="J1640" s="148"/>
      <c r="K1640" s="149"/>
    </row>
    <row r="1641" spans="2:11" s="17" customFormat="1" x14ac:dyDescent="0.25">
      <c r="B1641" s="55"/>
      <c r="C1641" s="55"/>
      <c r="F1641" s="66"/>
      <c r="G1641" s="236"/>
      <c r="I1641" s="145"/>
      <c r="J1641" s="148"/>
      <c r="K1641" s="149"/>
    </row>
    <row r="1642" spans="2:11" s="17" customFormat="1" x14ac:dyDescent="0.25">
      <c r="B1642" s="55"/>
      <c r="C1642" s="55"/>
      <c r="F1642" s="66"/>
      <c r="G1642" s="236"/>
      <c r="I1642" s="145"/>
      <c r="J1642" s="148"/>
      <c r="K1642" s="149"/>
    </row>
    <row r="1643" spans="2:11" s="17" customFormat="1" x14ac:dyDescent="0.25">
      <c r="B1643" s="55"/>
      <c r="C1643" s="55"/>
      <c r="F1643" s="66"/>
      <c r="G1643" s="236"/>
      <c r="I1643" s="145"/>
      <c r="J1643" s="148"/>
      <c r="K1643" s="149"/>
    </row>
    <row r="1644" spans="2:11" s="17" customFormat="1" x14ac:dyDescent="0.25">
      <c r="B1644" s="55"/>
      <c r="C1644" s="55"/>
      <c r="F1644" s="66"/>
      <c r="G1644" s="236"/>
      <c r="I1644" s="145"/>
      <c r="J1644" s="148"/>
      <c r="K1644" s="149"/>
    </row>
    <row r="1645" spans="2:11" s="17" customFormat="1" x14ac:dyDescent="0.25">
      <c r="B1645" s="55"/>
      <c r="C1645" s="55"/>
      <c r="F1645" s="66"/>
      <c r="G1645" s="236"/>
      <c r="I1645" s="145"/>
      <c r="J1645" s="148"/>
      <c r="K1645" s="149"/>
    </row>
    <row r="1646" spans="2:11" s="17" customFormat="1" x14ac:dyDescent="0.25">
      <c r="B1646" s="55"/>
      <c r="C1646" s="55"/>
      <c r="F1646" s="66"/>
      <c r="G1646" s="236"/>
      <c r="I1646" s="145"/>
      <c r="J1646" s="148"/>
      <c r="K1646" s="149"/>
    </row>
    <row r="1647" spans="2:11" s="17" customFormat="1" x14ac:dyDescent="0.25">
      <c r="B1647" s="55"/>
      <c r="C1647" s="55"/>
      <c r="F1647" s="66"/>
      <c r="G1647" s="236"/>
      <c r="I1647" s="145"/>
      <c r="J1647" s="148"/>
      <c r="K1647" s="149"/>
    </row>
    <row r="1648" spans="2:11" s="17" customFormat="1" x14ac:dyDescent="0.25">
      <c r="B1648" s="55"/>
      <c r="C1648" s="55"/>
      <c r="F1648" s="66"/>
      <c r="G1648" s="236"/>
      <c r="I1648" s="145"/>
      <c r="J1648" s="148"/>
      <c r="K1648" s="149"/>
    </row>
    <row r="1649" spans="2:11" s="17" customFormat="1" x14ac:dyDescent="0.25">
      <c r="B1649" s="55"/>
      <c r="C1649" s="55"/>
      <c r="F1649" s="66"/>
      <c r="G1649" s="236"/>
      <c r="I1649" s="145"/>
      <c r="J1649" s="148"/>
      <c r="K1649" s="149"/>
    </row>
    <row r="1650" spans="2:11" s="17" customFormat="1" x14ac:dyDescent="0.25">
      <c r="B1650" s="55"/>
      <c r="C1650" s="55"/>
      <c r="F1650" s="66"/>
      <c r="G1650" s="236"/>
      <c r="I1650" s="145"/>
      <c r="J1650" s="148"/>
      <c r="K1650" s="149"/>
    </row>
    <row r="1651" spans="2:11" s="17" customFormat="1" x14ac:dyDescent="0.25">
      <c r="B1651" s="55"/>
      <c r="C1651" s="55"/>
      <c r="F1651" s="66"/>
      <c r="G1651" s="236"/>
      <c r="I1651" s="145"/>
      <c r="J1651" s="148"/>
      <c r="K1651" s="149"/>
    </row>
    <row r="1652" spans="2:11" s="17" customFormat="1" x14ac:dyDescent="0.25">
      <c r="B1652" s="55"/>
      <c r="C1652" s="55"/>
      <c r="F1652" s="66"/>
      <c r="G1652" s="236"/>
      <c r="I1652" s="145"/>
      <c r="J1652" s="148"/>
      <c r="K1652" s="149"/>
    </row>
    <row r="1653" spans="2:11" s="17" customFormat="1" x14ac:dyDescent="0.25">
      <c r="B1653" s="55"/>
      <c r="C1653" s="55"/>
      <c r="F1653" s="66"/>
      <c r="G1653" s="236"/>
      <c r="I1653" s="145"/>
      <c r="J1653" s="148"/>
      <c r="K1653" s="149"/>
    </row>
    <row r="1654" spans="2:11" s="17" customFormat="1" x14ac:dyDescent="0.25">
      <c r="B1654" s="55"/>
      <c r="C1654" s="55"/>
      <c r="F1654" s="66"/>
      <c r="G1654" s="236"/>
      <c r="I1654" s="145"/>
      <c r="J1654" s="148"/>
      <c r="K1654" s="149"/>
    </row>
    <row r="1655" spans="2:11" s="17" customFormat="1" x14ac:dyDescent="0.25">
      <c r="B1655" s="55"/>
      <c r="C1655" s="55"/>
      <c r="F1655" s="66"/>
      <c r="G1655" s="236"/>
      <c r="I1655" s="145"/>
      <c r="J1655" s="148"/>
      <c r="K1655" s="149"/>
    </row>
    <row r="1656" spans="2:11" s="17" customFormat="1" x14ac:dyDescent="0.25">
      <c r="B1656" s="55"/>
      <c r="C1656" s="55"/>
      <c r="F1656" s="66"/>
      <c r="G1656" s="236"/>
      <c r="I1656" s="145"/>
      <c r="J1656" s="148"/>
      <c r="K1656" s="149"/>
    </row>
    <row r="1657" spans="2:11" s="17" customFormat="1" x14ac:dyDescent="0.25">
      <c r="B1657" s="55"/>
      <c r="C1657" s="55"/>
      <c r="F1657" s="66"/>
      <c r="G1657" s="236"/>
      <c r="I1657" s="145"/>
      <c r="J1657" s="148"/>
      <c r="K1657" s="149"/>
    </row>
    <row r="1658" spans="2:11" s="17" customFormat="1" x14ac:dyDescent="0.25">
      <c r="B1658" s="55"/>
      <c r="C1658" s="55"/>
      <c r="F1658" s="66"/>
      <c r="G1658" s="236"/>
      <c r="I1658" s="145"/>
      <c r="J1658" s="148"/>
      <c r="K1658" s="149"/>
    </row>
    <row r="1659" spans="2:11" s="17" customFormat="1" x14ac:dyDescent="0.25">
      <c r="B1659" s="55"/>
      <c r="C1659" s="55"/>
      <c r="F1659" s="66"/>
      <c r="G1659" s="236"/>
      <c r="I1659" s="145"/>
      <c r="J1659" s="148"/>
      <c r="K1659" s="149"/>
    </row>
    <row r="1660" spans="2:11" s="17" customFormat="1" x14ac:dyDescent="0.25">
      <c r="B1660" s="55"/>
      <c r="C1660" s="55"/>
      <c r="F1660" s="66"/>
      <c r="G1660" s="236"/>
      <c r="I1660" s="145"/>
      <c r="J1660" s="148"/>
      <c r="K1660" s="149"/>
    </row>
    <row r="1661" spans="2:11" s="17" customFormat="1" x14ac:dyDescent="0.25">
      <c r="B1661" s="55"/>
      <c r="C1661" s="55"/>
      <c r="F1661" s="66"/>
      <c r="G1661" s="236"/>
      <c r="I1661" s="145"/>
      <c r="J1661" s="148"/>
      <c r="K1661" s="149"/>
    </row>
    <row r="1662" spans="2:11" s="17" customFormat="1" x14ac:dyDescent="0.25">
      <c r="B1662" s="55"/>
      <c r="C1662" s="55"/>
      <c r="F1662" s="66"/>
      <c r="G1662" s="236"/>
      <c r="I1662" s="145"/>
      <c r="J1662" s="148"/>
      <c r="K1662" s="149"/>
    </row>
    <row r="1663" spans="2:11" s="17" customFormat="1" x14ac:dyDescent="0.25">
      <c r="B1663" s="55"/>
      <c r="C1663" s="55"/>
      <c r="F1663" s="66"/>
      <c r="G1663" s="236"/>
      <c r="I1663" s="145"/>
      <c r="J1663" s="148"/>
      <c r="K1663" s="149"/>
    </row>
    <row r="1664" spans="2:11" s="17" customFormat="1" x14ac:dyDescent="0.25">
      <c r="B1664" s="55"/>
      <c r="C1664" s="55"/>
      <c r="F1664" s="66"/>
      <c r="G1664" s="236"/>
      <c r="I1664" s="145"/>
      <c r="J1664" s="148"/>
      <c r="K1664" s="149"/>
    </row>
    <row r="1665" spans="2:11" s="17" customFormat="1" x14ac:dyDescent="0.25">
      <c r="B1665" s="55"/>
      <c r="C1665" s="55"/>
      <c r="F1665" s="66"/>
      <c r="G1665" s="236"/>
      <c r="I1665" s="145"/>
      <c r="J1665" s="148"/>
      <c r="K1665" s="149"/>
    </row>
    <row r="1666" spans="2:11" s="17" customFormat="1" x14ac:dyDescent="0.25">
      <c r="B1666" s="55"/>
      <c r="C1666" s="55"/>
      <c r="F1666" s="66"/>
      <c r="G1666" s="236"/>
      <c r="I1666" s="145"/>
      <c r="J1666" s="148"/>
      <c r="K1666" s="149"/>
    </row>
    <row r="1667" spans="2:11" s="17" customFormat="1" x14ac:dyDescent="0.25">
      <c r="B1667" s="55"/>
      <c r="C1667" s="55"/>
      <c r="F1667" s="66"/>
      <c r="G1667" s="236"/>
      <c r="I1667" s="145"/>
      <c r="J1667" s="148"/>
      <c r="K1667" s="149"/>
    </row>
    <row r="1668" spans="2:11" s="17" customFormat="1" x14ac:dyDescent="0.25">
      <c r="B1668" s="55"/>
      <c r="C1668" s="55"/>
      <c r="F1668" s="66"/>
      <c r="G1668" s="236"/>
      <c r="I1668" s="145"/>
      <c r="J1668" s="148"/>
      <c r="K1668" s="149"/>
    </row>
    <row r="1669" spans="2:11" s="17" customFormat="1" x14ac:dyDescent="0.25">
      <c r="B1669" s="55"/>
      <c r="C1669" s="55"/>
      <c r="F1669" s="66"/>
      <c r="G1669" s="236"/>
      <c r="I1669" s="145"/>
      <c r="J1669" s="148"/>
      <c r="K1669" s="149"/>
    </row>
    <row r="1670" spans="2:11" s="17" customFormat="1" x14ac:dyDescent="0.25">
      <c r="B1670" s="55"/>
      <c r="C1670" s="55"/>
      <c r="F1670" s="66"/>
      <c r="G1670" s="236"/>
      <c r="I1670" s="145"/>
      <c r="J1670" s="148"/>
      <c r="K1670" s="149"/>
    </row>
    <row r="1671" spans="2:11" s="17" customFormat="1" x14ac:dyDescent="0.25">
      <c r="B1671" s="55"/>
      <c r="C1671" s="55"/>
      <c r="F1671" s="66"/>
      <c r="G1671" s="236"/>
      <c r="I1671" s="145"/>
      <c r="J1671" s="148"/>
      <c r="K1671" s="149"/>
    </row>
    <row r="1672" spans="2:11" s="17" customFormat="1" x14ac:dyDescent="0.25">
      <c r="B1672" s="55"/>
      <c r="C1672" s="55"/>
      <c r="F1672" s="66"/>
      <c r="G1672" s="236"/>
      <c r="I1672" s="145"/>
      <c r="J1672" s="148"/>
      <c r="K1672" s="149"/>
    </row>
    <row r="1673" spans="2:11" s="17" customFormat="1" x14ac:dyDescent="0.25">
      <c r="B1673" s="55"/>
      <c r="C1673" s="55"/>
      <c r="F1673" s="66"/>
      <c r="G1673" s="236"/>
      <c r="I1673" s="145"/>
      <c r="J1673" s="148"/>
      <c r="K1673" s="149"/>
    </row>
    <row r="1674" spans="2:11" s="17" customFormat="1" x14ac:dyDescent="0.25">
      <c r="B1674" s="55"/>
      <c r="C1674" s="55"/>
      <c r="F1674" s="66"/>
      <c r="G1674" s="236"/>
      <c r="I1674" s="145"/>
      <c r="J1674" s="148"/>
      <c r="K1674" s="149"/>
    </row>
    <row r="1675" spans="2:11" s="17" customFormat="1" x14ac:dyDescent="0.25">
      <c r="B1675" s="55"/>
      <c r="C1675" s="55"/>
      <c r="F1675" s="66"/>
      <c r="G1675" s="236"/>
      <c r="I1675" s="145"/>
      <c r="J1675" s="148"/>
      <c r="K1675" s="149"/>
    </row>
    <row r="1676" spans="2:11" s="17" customFormat="1" x14ac:dyDescent="0.25">
      <c r="B1676" s="55"/>
      <c r="C1676" s="55"/>
      <c r="F1676" s="66"/>
      <c r="G1676" s="236"/>
      <c r="I1676" s="145"/>
      <c r="J1676" s="148"/>
      <c r="K1676" s="149"/>
    </row>
    <row r="1677" spans="2:11" s="17" customFormat="1" x14ac:dyDescent="0.25">
      <c r="B1677" s="55"/>
      <c r="C1677" s="55"/>
      <c r="F1677" s="66"/>
      <c r="G1677" s="236"/>
      <c r="I1677" s="145"/>
      <c r="J1677" s="148"/>
      <c r="K1677" s="149"/>
    </row>
    <row r="1678" spans="2:11" s="17" customFormat="1" x14ac:dyDescent="0.25">
      <c r="B1678" s="55"/>
      <c r="C1678" s="55"/>
      <c r="F1678" s="66"/>
      <c r="G1678" s="236"/>
      <c r="I1678" s="145"/>
      <c r="J1678" s="148"/>
      <c r="K1678" s="149"/>
    </row>
    <row r="1679" spans="2:11" s="17" customFormat="1" x14ac:dyDescent="0.25">
      <c r="B1679" s="55"/>
      <c r="C1679" s="55"/>
      <c r="F1679" s="66"/>
      <c r="G1679" s="236"/>
      <c r="I1679" s="145"/>
      <c r="J1679" s="148"/>
      <c r="K1679" s="149"/>
    </row>
    <row r="1680" spans="2:11" s="17" customFormat="1" x14ac:dyDescent="0.25">
      <c r="B1680" s="55"/>
      <c r="C1680" s="55"/>
      <c r="F1680" s="66"/>
      <c r="G1680" s="236"/>
      <c r="I1680" s="145"/>
      <c r="J1680" s="148"/>
      <c r="K1680" s="149"/>
    </row>
    <row r="1681" spans="2:11" s="17" customFormat="1" x14ac:dyDescent="0.25">
      <c r="B1681" s="55"/>
      <c r="C1681" s="55"/>
      <c r="F1681" s="66"/>
      <c r="G1681" s="236"/>
      <c r="I1681" s="145"/>
      <c r="J1681" s="148"/>
      <c r="K1681" s="149"/>
    </row>
    <row r="1682" spans="2:11" s="17" customFormat="1" x14ac:dyDescent="0.25">
      <c r="B1682" s="55"/>
      <c r="C1682" s="55"/>
      <c r="F1682" s="66"/>
      <c r="G1682" s="236"/>
      <c r="I1682" s="145"/>
      <c r="J1682" s="148"/>
      <c r="K1682" s="149"/>
    </row>
    <row r="1683" spans="2:11" s="17" customFormat="1" x14ac:dyDescent="0.25">
      <c r="B1683" s="55"/>
      <c r="C1683" s="55"/>
      <c r="F1683" s="66"/>
      <c r="G1683" s="236"/>
      <c r="I1683" s="145"/>
      <c r="J1683" s="148"/>
      <c r="K1683" s="149"/>
    </row>
    <row r="1684" spans="2:11" s="17" customFormat="1" x14ac:dyDescent="0.25">
      <c r="B1684" s="55"/>
      <c r="C1684" s="55"/>
      <c r="F1684" s="66"/>
      <c r="G1684" s="236"/>
      <c r="I1684" s="145"/>
      <c r="J1684" s="148"/>
      <c r="K1684" s="149"/>
    </row>
    <row r="1685" spans="2:11" s="17" customFormat="1" x14ac:dyDescent="0.25">
      <c r="B1685" s="55"/>
      <c r="C1685" s="55"/>
      <c r="F1685" s="66"/>
      <c r="G1685" s="236"/>
      <c r="I1685" s="145"/>
      <c r="J1685" s="148"/>
      <c r="K1685" s="149"/>
    </row>
    <row r="1686" spans="2:11" s="17" customFormat="1" x14ac:dyDescent="0.25">
      <c r="B1686" s="55"/>
      <c r="C1686" s="55"/>
      <c r="F1686" s="66"/>
      <c r="G1686" s="236"/>
      <c r="I1686" s="145"/>
      <c r="J1686" s="148"/>
      <c r="K1686" s="149"/>
    </row>
    <row r="1687" spans="2:11" s="17" customFormat="1" x14ac:dyDescent="0.25">
      <c r="B1687" s="55"/>
      <c r="C1687" s="55"/>
      <c r="F1687" s="66"/>
      <c r="G1687" s="236"/>
      <c r="I1687" s="145"/>
      <c r="J1687" s="148"/>
      <c r="K1687" s="149"/>
    </row>
    <row r="1688" spans="2:11" s="17" customFormat="1" x14ac:dyDescent="0.25">
      <c r="B1688" s="55"/>
      <c r="C1688" s="55"/>
      <c r="F1688" s="66"/>
      <c r="G1688" s="236"/>
      <c r="I1688" s="145"/>
      <c r="J1688" s="148"/>
      <c r="K1688" s="149"/>
    </row>
    <row r="1689" spans="2:11" s="17" customFormat="1" x14ac:dyDescent="0.25">
      <c r="B1689" s="55"/>
      <c r="C1689" s="55"/>
      <c r="F1689" s="66"/>
      <c r="G1689" s="236"/>
      <c r="I1689" s="145"/>
      <c r="J1689" s="148"/>
      <c r="K1689" s="149"/>
    </row>
    <row r="1690" spans="2:11" s="17" customFormat="1" x14ac:dyDescent="0.25">
      <c r="B1690" s="55"/>
      <c r="C1690" s="55"/>
      <c r="F1690" s="66"/>
      <c r="G1690" s="236"/>
      <c r="I1690" s="145"/>
      <c r="J1690" s="148"/>
      <c r="K1690" s="149"/>
    </row>
    <row r="1691" spans="2:11" s="17" customFormat="1" x14ac:dyDescent="0.25">
      <c r="B1691" s="55"/>
      <c r="C1691" s="55"/>
      <c r="F1691" s="66"/>
      <c r="G1691" s="236"/>
      <c r="I1691" s="145"/>
      <c r="J1691" s="148"/>
      <c r="K1691" s="149"/>
    </row>
    <row r="1692" spans="2:11" s="17" customFormat="1" x14ac:dyDescent="0.25">
      <c r="B1692" s="55"/>
      <c r="C1692" s="55"/>
      <c r="F1692" s="66"/>
      <c r="G1692" s="236"/>
      <c r="I1692" s="145"/>
      <c r="J1692" s="148"/>
      <c r="K1692" s="149"/>
    </row>
    <row r="1693" spans="2:11" s="17" customFormat="1" x14ac:dyDescent="0.25">
      <c r="B1693" s="55"/>
      <c r="C1693" s="55"/>
      <c r="F1693" s="66"/>
      <c r="G1693" s="236"/>
      <c r="I1693" s="145"/>
      <c r="J1693" s="148"/>
      <c r="K1693" s="149"/>
    </row>
    <row r="1694" spans="2:11" s="17" customFormat="1" x14ac:dyDescent="0.25">
      <c r="B1694" s="55"/>
      <c r="C1694" s="55"/>
      <c r="F1694" s="66"/>
      <c r="G1694" s="236"/>
      <c r="I1694" s="145"/>
      <c r="J1694" s="148"/>
      <c r="K1694" s="149"/>
    </row>
    <row r="1695" spans="2:11" s="17" customFormat="1" x14ac:dyDescent="0.25">
      <c r="B1695" s="55"/>
      <c r="C1695" s="55"/>
      <c r="F1695" s="66"/>
      <c r="G1695" s="236"/>
      <c r="I1695" s="145"/>
      <c r="J1695" s="148"/>
      <c r="K1695" s="149"/>
    </row>
    <row r="1696" spans="2:11" s="17" customFormat="1" x14ac:dyDescent="0.25">
      <c r="B1696" s="55"/>
      <c r="C1696" s="55"/>
      <c r="F1696" s="66"/>
      <c r="G1696" s="236"/>
      <c r="I1696" s="145"/>
      <c r="J1696" s="148"/>
      <c r="K1696" s="149"/>
    </row>
    <row r="1697" spans="2:11" s="17" customFormat="1" x14ac:dyDescent="0.25">
      <c r="B1697" s="55"/>
      <c r="C1697" s="55"/>
      <c r="F1697" s="66"/>
      <c r="G1697" s="236"/>
      <c r="I1697" s="145"/>
      <c r="J1697" s="148"/>
      <c r="K1697" s="149"/>
    </row>
    <row r="1698" spans="2:11" s="17" customFormat="1" x14ac:dyDescent="0.25">
      <c r="B1698" s="55"/>
      <c r="C1698" s="55"/>
      <c r="F1698" s="66"/>
      <c r="G1698" s="236"/>
      <c r="I1698" s="145"/>
      <c r="J1698" s="148"/>
      <c r="K1698" s="149"/>
    </row>
    <row r="1699" spans="2:11" s="17" customFormat="1" x14ac:dyDescent="0.25">
      <c r="B1699" s="55"/>
      <c r="C1699" s="55"/>
      <c r="F1699" s="66"/>
      <c r="G1699" s="236"/>
      <c r="I1699" s="145"/>
      <c r="J1699" s="148"/>
      <c r="K1699" s="149"/>
    </row>
    <row r="1700" spans="2:11" s="17" customFormat="1" x14ac:dyDescent="0.25">
      <c r="B1700" s="55"/>
      <c r="C1700" s="55"/>
      <c r="F1700" s="66"/>
      <c r="G1700" s="236"/>
      <c r="I1700" s="145"/>
      <c r="J1700" s="148"/>
      <c r="K1700" s="149"/>
    </row>
    <row r="1701" spans="2:11" s="17" customFormat="1" x14ac:dyDescent="0.25">
      <c r="B1701" s="55"/>
      <c r="C1701" s="55"/>
      <c r="F1701" s="66"/>
      <c r="G1701" s="236"/>
      <c r="I1701" s="145"/>
      <c r="J1701" s="148"/>
      <c r="K1701" s="149"/>
    </row>
    <row r="1702" spans="2:11" s="17" customFormat="1" x14ac:dyDescent="0.25">
      <c r="B1702" s="55"/>
      <c r="C1702" s="55"/>
      <c r="F1702" s="66"/>
      <c r="G1702" s="236"/>
      <c r="I1702" s="145"/>
      <c r="J1702" s="148"/>
      <c r="K1702" s="149"/>
    </row>
    <row r="1703" spans="2:11" s="17" customFormat="1" x14ac:dyDescent="0.25">
      <c r="B1703" s="55"/>
      <c r="C1703" s="55"/>
      <c r="F1703" s="66"/>
      <c r="G1703" s="236"/>
      <c r="I1703" s="145"/>
      <c r="J1703" s="148"/>
      <c r="K1703" s="149"/>
    </row>
    <row r="1704" spans="2:11" s="17" customFormat="1" x14ac:dyDescent="0.25">
      <c r="B1704" s="55"/>
      <c r="C1704" s="55"/>
      <c r="F1704" s="66"/>
      <c r="G1704" s="236"/>
      <c r="I1704" s="145"/>
      <c r="J1704" s="148"/>
      <c r="K1704" s="149"/>
    </row>
    <row r="1705" spans="2:11" s="17" customFormat="1" x14ac:dyDescent="0.25">
      <c r="B1705" s="55"/>
      <c r="C1705" s="55"/>
      <c r="F1705" s="66"/>
      <c r="G1705" s="236"/>
      <c r="I1705" s="145"/>
      <c r="J1705" s="148"/>
      <c r="K1705" s="149"/>
    </row>
    <row r="1706" spans="2:11" s="17" customFormat="1" x14ac:dyDescent="0.25">
      <c r="B1706" s="55"/>
      <c r="C1706" s="55"/>
      <c r="F1706" s="66"/>
      <c r="G1706" s="236"/>
      <c r="I1706" s="145"/>
      <c r="J1706" s="148"/>
      <c r="K1706" s="149"/>
    </row>
    <row r="1707" spans="2:11" s="17" customFormat="1" x14ac:dyDescent="0.25">
      <c r="B1707" s="55"/>
      <c r="C1707" s="55"/>
      <c r="F1707" s="66"/>
      <c r="G1707" s="236"/>
      <c r="I1707" s="145"/>
      <c r="J1707" s="148"/>
      <c r="K1707" s="149"/>
    </row>
    <row r="1708" spans="2:11" s="17" customFormat="1" x14ac:dyDescent="0.25">
      <c r="B1708" s="55"/>
      <c r="C1708" s="55"/>
      <c r="F1708" s="66"/>
      <c r="G1708" s="236"/>
      <c r="I1708" s="145"/>
      <c r="J1708" s="148"/>
      <c r="K1708" s="149"/>
    </row>
    <row r="1709" spans="2:11" s="17" customFormat="1" x14ac:dyDescent="0.25">
      <c r="B1709" s="55"/>
      <c r="C1709" s="55"/>
      <c r="F1709" s="66"/>
      <c r="G1709" s="236"/>
      <c r="I1709" s="145"/>
      <c r="J1709" s="148"/>
      <c r="K1709" s="149"/>
    </row>
    <row r="1710" spans="2:11" s="17" customFormat="1" x14ac:dyDescent="0.25">
      <c r="B1710" s="55"/>
      <c r="C1710" s="55"/>
      <c r="F1710" s="66"/>
      <c r="G1710" s="236"/>
      <c r="I1710" s="145"/>
      <c r="J1710" s="148"/>
      <c r="K1710" s="149"/>
    </row>
    <row r="1711" spans="2:11" s="17" customFormat="1" x14ac:dyDescent="0.25">
      <c r="B1711" s="55"/>
      <c r="C1711" s="55"/>
      <c r="F1711" s="66"/>
      <c r="G1711" s="236"/>
      <c r="I1711" s="145"/>
      <c r="J1711" s="148"/>
      <c r="K1711" s="149"/>
    </row>
    <row r="1712" spans="2:11" s="17" customFormat="1" x14ac:dyDescent="0.25">
      <c r="B1712" s="55"/>
      <c r="C1712" s="55"/>
      <c r="F1712" s="66"/>
      <c r="G1712" s="236"/>
      <c r="I1712" s="145"/>
      <c r="J1712" s="148"/>
      <c r="K1712" s="149"/>
    </row>
    <row r="1713" spans="2:11" s="17" customFormat="1" x14ac:dyDescent="0.25">
      <c r="B1713" s="55"/>
      <c r="C1713" s="55"/>
      <c r="F1713" s="66"/>
      <c r="G1713" s="236"/>
      <c r="I1713" s="145"/>
      <c r="J1713" s="148"/>
      <c r="K1713" s="149"/>
    </row>
    <row r="1714" spans="2:11" s="17" customFormat="1" x14ac:dyDescent="0.25">
      <c r="B1714" s="55"/>
      <c r="C1714" s="55"/>
      <c r="F1714" s="66"/>
      <c r="G1714" s="236"/>
      <c r="I1714" s="145"/>
      <c r="J1714" s="148"/>
      <c r="K1714" s="149"/>
    </row>
    <row r="1715" spans="2:11" s="17" customFormat="1" x14ac:dyDescent="0.25">
      <c r="B1715" s="55"/>
      <c r="C1715" s="55"/>
      <c r="F1715" s="66"/>
      <c r="G1715" s="236"/>
      <c r="I1715" s="145"/>
      <c r="J1715" s="148"/>
      <c r="K1715" s="149"/>
    </row>
    <row r="1716" spans="2:11" s="17" customFormat="1" x14ac:dyDescent="0.25">
      <c r="B1716" s="55"/>
      <c r="C1716" s="55"/>
      <c r="F1716" s="66"/>
      <c r="G1716" s="236"/>
      <c r="I1716" s="145"/>
      <c r="J1716" s="148"/>
      <c r="K1716" s="149"/>
    </row>
    <row r="1717" spans="2:11" s="17" customFormat="1" x14ac:dyDescent="0.25">
      <c r="B1717" s="55"/>
      <c r="C1717" s="55"/>
      <c r="F1717" s="66"/>
      <c r="G1717" s="236"/>
      <c r="I1717" s="145"/>
      <c r="J1717" s="148"/>
      <c r="K1717" s="149"/>
    </row>
    <row r="1718" spans="2:11" s="17" customFormat="1" x14ac:dyDescent="0.25">
      <c r="B1718" s="55"/>
      <c r="C1718" s="55"/>
      <c r="F1718" s="66"/>
      <c r="G1718" s="236"/>
      <c r="I1718" s="145"/>
      <c r="J1718" s="148"/>
      <c r="K1718" s="149"/>
    </row>
    <row r="1719" spans="2:11" s="17" customFormat="1" x14ac:dyDescent="0.25">
      <c r="B1719" s="55"/>
      <c r="C1719" s="55"/>
      <c r="F1719" s="66"/>
      <c r="G1719" s="236"/>
      <c r="I1719" s="145"/>
      <c r="J1719" s="148"/>
      <c r="K1719" s="149"/>
    </row>
    <row r="1720" spans="2:11" s="17" customFormat="1" x14ac:dyDescent="0.25">
      <c r="B1720" s="55"/>
      <c r="C1720" s="55"/>
      <c r="F1720" s="66"/>
      <c r="G1720" s="236"/>
      <c r="I1720" s="145"/>
      <c r="J1720" s="148"/>
      <c r="K1720" s="149"/>
    </row>
    <row r="1721" spans="2:11" s="17" customFormat="1" x14ac:dyDescent="0.25">
      <c r="B1721" s="55"/>
      <c r="C1721" s="55"/>
      <c r="F1721" s="66"/>
      <c r="G1721" s="236"/>
      <c r="I1721" s="145"/>
      <c r="J1721" s="148"/>
      <c r="K1721" s="149"/>
    </row>
    <row r="1722" spans="2:11" s="17" customFormat="1" x14ac:dyDescent="0.25">
      <c r="B1722" s="55"/>
      <c r="C1722" s="55"/>
      <c r="F1722" s="66"/>
      <c r="G1722" s="236"/>
      <c r="I1722" s="145"/>
      <c r="J1722" s="148"/>
      <c r="K1722" s="149"/>
    </row>
    <row r="1723" spans="2:11" s="17" customFormat="1" x14ac:dyDescent="0.25">
      <c r="B1723" s="55"/>
      <c r="C1723" s="55"/>
      <c r="F1723" s="66"/>
      <c r="G1723" s="236"/>
      <c r="I1723" s="145"/>
      <c r="J1723" s="148"/>
      <c r="K1723" s="149"/>
    </row>
    <row r="1724" spans="2:11" s="17" customFormat="1" x14ac:dyDescent="0.25">
      <c r="B1724" s="55"/>
      <c r="C1724" s="55"/>
      <c r="F1724" s="66"/>
      <c r="G1724" s="236"/>
      <c r="I1724" s="145"/>
      <c r="J1724" s="148"/>
      <c r="K1724" s="149"/>
    </row>
    <row r="1725" spans="2:11" s="17" customFormat="1" x14ac:dyDescent="0.25">
      <c r="B1725" s="55"/>
      <c r="C1725" s="55"/>
      <c r="F1725" s="66"/>
      <c r="G1725" s="236"/>
      <c r="I1725" s="145"/>
      <c r="J1725" s="148"/>
      <c r="K1725" s="149"/>
    </row>
    <row r="1726" spans="2:11" s="17" customFormat="1" x14ac:dyDescent="0.25">
      <c r="B1726" s="55"/>
      <c r="C1726" s="55"/>
      <c r="F1726" s="66"/>
      <c r="G1726" s="236"/>
      <c r="I1726" s="145"/>
      <c r="J1726" s="148"/>
      <c r="K1726" s="149"/>
    </row>
    <row r="1727" spans="2:11" s="17" customFormat="1" x14ac:dyDescent="0.25">
      <c r="B1727" s="55"/>
      <c r="C1727" s="55"/>
      <c r="F1727" s="66"/>
      <c r="G1727" s="236"/>
      <c r="I1727" s="145"/>
      <c r="J1727" s="148"/>
      <c r="K1727" s="149"/>
    </row>
    <row r="1728" spans="2:11" s="17" customFormat="1" x14ac:dyDescent="0.25">
      <c r="B1728" s="55"/>
      <c r="C1728" s="55"/>
      <c r="F1728" s="66"/>
      <c r="G1728" s="236"/>
      <c r="I1728" s="145"/>
      <c r="J1728" s="148"/>
      <c r="K1728" s="149"/>
    </row>
    <row r="1729" spans="2:11" s="17" customFormat="1" x14ac:dyDescent="0.25">
      <c r="B1729" s="55"/>
      <c r="C1729" s="55"/>
      <c r="F1729" s="66"/>
      <c r="G1729" s="236"/>
      <c r="I1729" s="145"/>
      <c r="J1729" s="148"/>
      <c r="K1729" s="149"/>
    </row>
    <row r="1730" spans="2:11" s="17" customFormat="1" x14ac:dyDescent="0.25">
      <c r="B1730" s="55"/>
      <c r="C1730" s="55"/>
      <c r="F1730" s="66"/>
      <c r="G1730" s="236"/>
      <c r="I1730" s="145"/>
      <c r="J1730" s="148"/>
      <c r="K1730" s="149"/>
    </row>
    <row r="1731" spans="2:11" s="17" customFormat="1" x14ac:dyDescent="0.25">
      <c r="B1731" s="55"/>
      <c r="C1731" s="55"/>
      <c r="F1731" s="66"/>
      <c r="G1731" s="236"/>
      <c r="I1731" s="145"/>
      <c r="J1731" s="148"/>
      <c r="K1731" s="149"/>
    </row>
    <row r="1732" spans="2:11" s="17" customFormat="1" x14ac:dyDescent="0.25">
      <c r="B1732" s="55"/>
      <c r="C1732" s="55"/>
      <c r="F1732" s="66"/>
      <c r="G1732" s="236"/>
      <c r="I1732" s="145"/>
      <c r="J1732" s="148"/>
      <c r="K1732" s="149"/>
    </row>
    <row r="1733" spans="2:11" s="17" customFormat="1" x14ac:dyDescent="0.25">
      <c r="B1733" s="55"/>
      <c r="C1733" s="55"/>
      <c r="F1733" s="66"/>
      <c r="G1733" s="236"/>
      <c r="I1733" s="145"/>
      <c r="J1733" s="148"/>
      <c r="K1733" s="149"/>
    </row>
    <row r="1734" spans="2:11" s="17" customFormat="1" x14ac:dyDescent="0.25">
      <c r="B1734" s="55"/>
      <c r="C1734" s="55"/>
      <c r="F1734" s="66"/>
      <c r="G1734" s="236"/>
      <c r="I1734" s="145"/>
      <c r="J1734" s="148"/>
      <c r="K1734" s="149"/>
    </row>
    <row r="1735" spans="2:11" s="17" customFormat="1" x14ac:dyDescent="0.25">
      <c r="B1735" s="55"/>
      <c r="C1735" s="55"/>
      <c r="F1735" s="66"/>
      <c r="G1735" s="236"/>
      <c r="I1735" s="145"/>
      <c r="J1735" s="148"/>
      <c r="K1735" s="149"/>
    </row>
    <row r="1736" spans="2:11" s="17" customFormat="1" x14ac:dyDescent="0.25">
      <c r="B1736" s="55"/>
      <c r="C1736" s="55"/>
      <c r="F1736" s="66"/>
      <c r="G1736" s="236"/>
      <c r="I1736" s="145"/>
      <c r="J1736" s="148"/>
      <c r="K1736" s="149"/>
    </row>
    <row r="1737" spans="2:11" s="17" customFormat="1" x14ac:dyDescent="0.25">
      <c r="B1737" s="55"/>
      <c r="C1737" s="55"/>
      <c r="F1737" s="66"/>
      <c r="G1737" s="236"/>
      <c r="I1737" s="145"/>
      <c r="J1737" s="148"/>
      <c r="K1737" s="149"/>
    </row>
    <row r="1738" spans="2:11" s="17" customFormat="1" x14ac:dyDescent="0.25">
      <c r="B1738" s="55"/>
      <c r="C1738" s="55"/>
      <c r="F1738" s="66"/>
      <c r="G1738" s="236"/>
      <c r="I1738" s="145"/>
      <c r="J1738" s="148"/>
      <c r="K1738" s="149"/>
    </row>
    <row r="1739" spans="2:11" s="17" customFormat="1" x14ac:dyDescent="0.25">
      <c r="B1739" s="55"/>
      <c r="C1739" s="55"/>
      <c r="F1739" s="66"/>
      <c r="G1739" s="236"/>
      <c r="I1739" s="145"/>
      <c r="J1739" s="148"/>
      <c r="K1739" s="149"/>
    </row>
    <row r="1740" spans="2:11" s="17" customFormat="1" x14ac:dyDescent="0.25">
      <c r="B1740" s="55"/>
      <c r="C1740" s="55"/>
      <c r="F1740" s="66"/>
      <c r="G1740" s="236"/>
      <c r="I1740" s="145"/>
      <c r="J1740" s="148"/>
      <c r="K1740" s="149"/>
    </row>
    <row r="1741" spans="2:11" s="17" customFormat="1" x14ac:dyDescent="0.25">
      <c r="B1741" s="55"/>
      <c r="C1741" s="55"/>
      <c r="F1741" s="66"/>
      <c r="G1741" s="236"/>
      <c r="I1741" s="145"/>
      <c r="J1741" s="148"/>
      <c r="K1741" s="149"/>
    </row>
    <row r="1742" spans="2:11" s="17" customFormat="1" x14ac:dyDescent="0.25">
      <c r="B1742" s="55"/>
      <c r="C1742" s="55"/>
      <c r="F1742" s="66"/>
      <c r="G1742" s="236"/>
      <c r="I1742" s="145"/>
      <c r="J1742" s="148"/>
      <c r="K1742" s="149"/>
    </row>
    <row r="1743" spans="2:11" s="17" customFormat="1" x14ac:dyDescent="0.25">
      <c r="B1743" s="55"/>
      <c r="C1743" s="55"/>
      <c r="F1743" s="66"/>
      <c r="G1743" s="236"/>
      <c r="I1743" s="145"/>
      <c r="J1743" s="148"/>
      <c r="K1743" s="149"/>
    </row>
    <row r="1744" spans="2:11" s="17" customFormat="1" x14ac:dyDescent="0.25">
      <c r="B1744" s="55"/>
      <c r="C1744" s="55"/>
      <c r="F1744" s="66"/>
      <c r="G1744" s="236"/>
      <c r="I1744" s="145"/>
      <c r="J1744" s="148"/>
      <c r="K1744" s="149"/>
    </row>
    <row r="1745" spans="2:11" s="17" customFormat="1" x14ac:dyDescent="0.25">
      <c r="B1745" s="55"/>
      <c r="C1745" s="55"/>
      <c r="F1745" s="66"/>
      <c r="G1745" s="236"/>
      <c r="I1745" s="145"/>
      <c r="J1745" s="148"/>
      <c r="K1745" s="149"/>
    </row>
    <row r="1746" spans="2:11" s="17" customFormat="1" x14ac:dyDescent="0.25">
      <c r="B1746" s="55"/>
      <c r="C1746" s="55"/>
      <c r="F1746" s="66"/>
      <c r="G1746" s="236"/>
      <c r="I1746" s="145"/>
      <c r="J1746" s="148"/>
      <c r="K1746" s="149"/>
    </row>
    <row r="1747" spans="2:11" s="17" customFormat="1" x14ac:dyDescent="0.25">
      <c r="B1747" s="55"/>
      <c r="C1747" s="55"/>
      <c r="F1747" s="66"/>
      <c r="G1747" s="236"/>
      <c r="I1747" s="145"/>
      <c r="J1747" s="148"/>
      <c r="K1747" s="149"/>
    </row>
    <row r="1748" spans="2:11" s="17" customFormat="1" x14ac:dyDescent="0.25">
      <c r="B1748" s="55"/>
      <c r="C1748" s="55"/>
      <c r="F1748" s="66"/>
      <c r="G1748" s="236"/>
      <c r="I1748" s="145"/>
      <c r="J1748" s="148"/>
      <c r="K1748" s="149"/>
    </row>
    <row r="1749" spans="2:11" s="17" customFormat="1" x14ac:dyDescent="0.25">
      <c r="B1749" s="55"/>
      <c r="C1749" s="55"/>
      <c r="F1749" s="66"/>
      <c r="G1749" s="236"/>
      <c r="I1749" s="145"/>
      <c r="J1749" s="148"/>
      <c r="K1749" s="149"/>
    </row>
    <row r="1750" spans="2:11" s="17" customFormat="1" x14ac:dyDescent="0.25">
      <c r="B1750" s="55"/>
      <c r="C1750" s="55"/>
      <c r="F1750" s="66"/>
      <c r="G1750" s="236"/>
      <c r="I1750" s="145"/>
      <c r="J1750" s="148"/>
      <c r="K1750" s="149"/>
    </row>
    <row r="1751" spans="2:11" s="17" customFormat="1" x14ac:dyDescent="0.25">
      <c r="B1751" s="55"/>
      <c r="C1751" s="55"/>
      <c r="F1751" s="66"/>
      <c r="G1751" s="236"/>
      <c r="I1751" s="145"/>
      <c r="J1751" s="148"/>
      <c r="K1751" s="149"/>
    </row>
    <row r="1752" spans="2:11" s="17" customFormat="1" x14ac:dyDescent="0.25">
      <c r="B1752" s="55"/>
      <c r="C1752" s="55"/>
      <c r="F1752" s="66"/>
      <c r="G1752" s="236"/>
      <c r="I1752" s="145"/>
      <c r="J1752" s="148"/>
      <c r="K1752" s="149"/>
    </row>
    <row r="1753" spans="2:11" s="17" customFormat="1" x14ac:dyDescent="0.25">
      <c r="B1753" s="55"/>
      <c r="C1753" s="55"/>
      <c r="F1753" s="66"/>
      <c r="G1753" s="236"/>
      <c r="I1753" s="145"/>
      <c r="J1753" s="148"/>
      <c r="K1753" s="149"/>
    </row>
    <row r="1754" spans="2:11" s="17" customFormat="1" x14ac:dyDescent="0.25">
      <c r="B1754" s="55"/>
      <c r="C1754" s="55"/>
      <c r="F1754" s="66"/>
      <c r="G1754" s="236"/>
      <c r="I1754" s="145"/>
      <c r="J1754" s="148"/>
      <c r="K1754" s="149"/>
    </row>
    <row r="1755" spans="2:11" s="17" customFormat="1" x14ac:dyDescent="0.25">
      <c r="B1755" s="55"/>
      <c r="C1755" s="55"/>
      <c r="F1755" s="66"/>
      <c r="G1755" s="236"/>
      <c r="I1755" s="145"/>
      <c r="J1755" s="148"/>
      <c r="K1755" s="149"/>
    </row>
    <row r="1756" spans="2:11" s="17" customFormat="1" x14ac:dyDescent="0.25">
      <c r="B1756" s="55"/>
      <c r="C1756" s="55"/>
      <c r="F1756" s="66"/>
      <c r="G1756" s="236"/>
      <c r="I1756" s="145"/>
      <c r="J1756" s="148"/>
      <c r="K1756" s="149"/>
    </row>
    <row r="1757" spans="2:11" s="17" customFormat="1" x14ac:dyDescent="0.25">
      <c r="B1757" s="55"/>
      <c r="C1757" s="55"/>
      <c r="F1757" s="66"/>
      <c r="G1757" s="236"/>
      <c r="I1757" s="145"/>
      <c r="J1757" s="148"/>
      <c r="K1757" s="149"/>
    </row>
    <row r="1758" spans="2:11" s="17" customFormat="1" x14ac:dyDescent="0.25">
      <c r="B1758" s="55"/>
      <c r="C1758" s="55"/>
      <c r="F1758" s="66"/>
      <c r="G1758" s="236"/>
      <c r="I1758" s="145"/>
      <c r="J1758" s="148"/>
      <c r="K1758" s="149"/>
    </row>
    <row r="1759" spans="2:11" s="17" customFormat="1" x14ac:dyDescent="0.25">
      <c r="B1759" s="55"/>
      <c r="C1759" s="55"/>
      <c r="F1759" s="66"/>
      <c r="G1759" s="236"/>
      <c r="I1759" s="145"/>
      <c r="J1759" s="148"/>
      <c r="K1759" s="149"/>
    </row>
    <row r="1760" spans="2:11" s="17" customFormat="1" x14ac:dyDescent="0.25">
      <c r="B1760" s="55"/>
      <c r="C1760" s="55"/>
      <c r="F1760" s="66"/>
      <c r="G1760" s="236"/>
      <c r="I1760" s="145"/>
      <c r="J1760" s="148"/>
      <c r="K1760" s="149"/>
    </row>
    <row r="1761" spans="2:11" s="17" customFormat="1" x14ac:dyDescent="0.25">
      <c r="B1761" s="55"/>
      <c r="C1761" s="55"/>
      <c r="F1761" s="66"/>
      <c r="G1761" s="236"/>
      <c r="I1761" s="145"/>
      <c r="J1761" s="148"/>
      <c r="K1761" s="149"/>
    </row>
    <row r="1762" spans="2:11" s="17" customFormat="1" x14ac:dyDescent="0.25">
      <c r="B1762" s="55"/>
      <c r="C1762" s="55"/>
      <c r="F1762" s="66"/>
      <c r="G1762" s="236"/>
      <c r="I1762" s="145"/>
      <c r="J1762" s="148"/>
      <c r="K1762" s="149"/>
    </row>
    <row r="1763" spans="2:11" s="17" customFormat="1" x14ac:dyDescent="0.25">
      <c r="B1763" s="55"/>
      <c r="C1763" s="55"/>
      <c r="F1763" s="66"/>
      <c r="G1763" s="236"/>
      <c r="I1763" s="145"/>
      <c r="J1763" s="148"/>
      <c r="K1763" s="149"/>
    </row>
    <row r="1764" spans="2:11" s="17" customFormat="1" x14ac:dyDescent="0.25">
      <c r="B1764" s="55"/>
      <c r="C1764" s="55"/>
      <c r="F1764" s="66"/>
      <c r="G1764" s="236"/>
      <c r="I1764" s="145"/>
      <c r="J1764" s="148"/>
      <c r="K1764" s="149"/>
    </row>
    <row r="1765" spans="2:11" s="17" customFormat="1" x14ac:dyDescent="0.25">
      <c r="B1765" s="55"/>
      <c r="C1765" s="55"/>
      <c r="F1765" s="66"/>
      <c r="G1765" s="236"/>
      <c r="I1765" s="145"/>
      <c r="J1765" s="148"/>
      <c r="K1765" s="149"/>
    </row>
    <row r="1766" spans="2:11" s="17" customFormat="1" x14ac:dyDescent="0.25">
      <c r="B1766" s="55"/>
      <c r="C1766" s="55"/>
      <c r="F1766" s="66"/>
      <c r="G1766" s="236"/>
      <c r="I1766" s="145"/>
      <c r="J1766" s="148"/>
      <c r="K1766" s="149"/>
    </row>
    <row r="1767" spans="2:11" s="17" customFormat="1" x14ac:dyDescent="0.25">
      <c r="B1767" s="55"/>
      <c r="C1767" s="55"/>
      <c r="F1767" s="66"/>
      <c r="G1767" s="236"/>
      <c r="I1767" s="145"/>
      <c r="J1767" s="148"/>
      <c r="K1767" s="149"/>
    </row>
    <row r="1768" spans="2:11" s="17" customFormat="1" x14ac:dyDescent="0.25">
      <c r="B1768" s="55"/>
      <c r="C1768" s="55"/>
      <c r="F1768" s="66"/>
      <c r="G1768" s="236"/>
      <c r="I1768" s="145"/>
      <c r="J1768" s="148"/>
      <c r="K1768" s="149"/>
    </row>
    <row r="1769" spans="2:11" s="17" customFormat="1" x14ac:dyDescent="0.25">
      <c r="B1769" s="55"/>
      <c r="C1769" s="55"/>
      <c r="F1769" s="66"/>
      <c r="G1769" s="236"/>
      <c r="I1769" s="145"/>
      <c r="J1769" s="148"/>
      <c r="K1769" s="149"/>
    </row>
    <row r="1770" spans="2:11" s="17" customFormat="1" x14ac:dyDescent="0.25">
      <c r="B1770" s="55"/>
      <c r="C1770" s="55"/>
      <c r="F1770" s="66"/>
      <c r="G1770" s="236"/>
      <c r="I1770" s="145"/>
      <c r="J1770" s="148"/>
      <c r="K1770" s="149"/>
    </row>
    <row r="1771" spans="2:11" s="17" customFormat="1" x14ac:dyDescent="0.25">
      <c r="B1771" s="55"/>
      <c r="C1771" s="55"/>
      <c r="F1771" s="66"/>
      <c r="G1771" s="236"/>
      <c r="I1771" s="145"/>
      <c r="J1771" s="148"/>
      <c r="K1771" s="149"/>
    </row>
    <row r="1772" spans="2:11" s="17" customFormat="1" x14ac:dyDescent="0.25">
      <c r="B1772" s="55"/>
      <c r="C1772" s="55"/>
      <c r="F1772" s="66"/>
      <c r="G1772" s="236"/>
      <c r="I1772" s="145"/>
      <c r="J1772" s="148"/>
      <c r="K1772" s="149"/>
    </row>
    <row r="1773" spans="2:11" s="17" customFormat="1" x14ac:dyDescent="0.25">
      <c r="B1773" s="55"/>
      <c r="C1773" s="55"/>
      <c r="F1773" s="66"/>
      <c r="G1773" s="236"/>
      <c r="I1773" s="145"/>
      <c r="J1773" s="148"/>
      <c r="K1773" s="149"/>
    </row>
    <row r="1774" spans="2:11" s="17" customFormat="1" x14ac:dyDescent="0.25">
      <c r="B1774" s="55"/>
      <c r="C1774" s="55"/>
      <c r="F1774" s="66"/>
      <c r="G1774" s="236"/>
      <c r="I1774" s="145"/>
      <c r="J1774" s="148"/>
      <c r="K1774" s="149"/>
    </row>
    <row r="1775" spans="2:11" s="17" customFormat="1" x14ac:dyDescent="0.25">
      <c r="B1775" s="55"/>
      <c r="C1775" s="55"/>
      <c r="F1775" s="66"/>
      <c r="G1775" s="236"/>
      <c r="I1775" s="145"/>
      <c r="J1775" s="148"/>
      <c r="K1775" s="149"/>
    </row>
    <row r="1776" spans="2:11" s="17" customFormat="1" x14ac:dyDescent="0.25">
      <c r="B1776" s="55"/>
      <c r="C1776" s="55"/>
      <c r="F1776" s="66"/>
      <c r="G1776" s="236"/>
      <c r="I1776" s="145"/>
      <c r="J1776" s="148"/>
      <c r="K1776" s="149"/>
    </row>
    <row r="1777" spans="2:11" s="17" customFormat="1" x14ac:dyDescent="0.25">
      <c r="B1777" s="55"/>
      <c r="C1777" s="55"/>
      <c r="F1777" s="66"/>
      <c r="G1777" s="236"/>
      <c r="I1777" s="145"/>
      <c r="J1777" s="148"/>
      <c r="K1777" s="149"/>
    </row>
    <row r="1778" spans="2:11" s="17" customFormat="1" x14ac:dyDescent="0.25">
      <c r="B1778" s="55"/>
      <c r="C1778" s="55"/>
      <c r="F1778" s="66"/>
      <c r="G1778" s="236"/>
      <c r="I1778" s="145"/>
      <c r="J1778" s="148"/>
      <c r="K1778" s="149"/>
    </row>
    <row r="1779" spans="2:11" s="17" customFormat="1" x14ac:dyDescent="0.25">
      <c r="B1779" s="55"/>
      <c r="C1779" s="55"/>
      <c r="F1779" s="66"/>
      <c r="G1779" s="236"/>
      <c r="I1779" s="145"/>
      <c r="J1779" s="148"/>
      <c r="K1779" s="149"/>
    </row>
    <row r="1780" spans="2:11" s="17" customFormat="1" x14ac:dyDescent="0.25">
      <c r="B1780" s="55"/>
      <c r="C1780" s="55"/>
      <c r="F1780" s="66"/>
      <c r="G1780" s="236"/>
      <c r="I1780" s="145"/>
      <c r="J1780" s="148"/>
      <c r="K1780" s="149"/>
    </row>
    <row r="1781" spans="2:11" s="17" customFormat="1" x14ac:dyDescent="0.25">
      <c r="B1781" s="55"/>
      <c r="C1781" s="55"/>
      <c r="F1781" s="66"/>
      <c r="G1781" s="236"/>
      <c r="I1781" s="145"/>
      <c r="J1781" s="148"/>
      <c r="K1781" s="149"/>
    </row>
    <row r="1782" spans="2:11" s="17" customFormat="1" x14ac:dyDescent="0.25">
      <c r="B1782" s="55"/>
      <c r="C1782" s="55"/>
      <c r="F1782" s="66"/>
      <c r="G1782" s="236"/>
      <c r="I1782" s="145"/>
      <c r="J1782" s="148"/>
      <c r="K1782" s="149"/>
    </row>
    <row r="1783" spans="2:11" s="17" customFormat="1" x14ac:dyDescent="0.25">
      <c r="B1783" s="55"/>
      <c r="C1783" s="55"/>
      <c r="F1783" s="66"/>
      <c r="G1783" s="236"/>
      <c r="I1783" s="145"/>
      <c r="J1783" s="148"/>
      <c r="K1783" s="149"/>
    </row>
    <row r="1784" spans="2:11" s="17" customFormat="1" x14ac:dyDescent="0.25">
      <c r="B1784" s="55"/>
      <c r="C1784" s="55"/>
      <c r="F1784" s="66"/>
      <c r="G1784" s="236"/>
      <c r="I1784" s="145"/>
      <c r="J1784" s="148"/>
      <c r="K1784" s="149"/>
    </row>
    <row r="1785" spans="2:11" s="17" customFormat="1" x14ac:dyDescent="0.25">
      <c r="B1785" s="55"/>
      <c r="C1785" s="55"/>
      <c r="F1785" s="66"/>
      <c r="G1785" s="236"/>
      <c r="I1785" s="145"/>
      <c r="J1785" s="148"/>
      <c r="K1785" s="149"/>
    </row>
    <row r="1786" spans="2:11" s="17" customFormat="1" x14ac:dyDescent="0.25">
      <c r="B1786" s="55"/>
      <c r="C1786" s="55"/>
      <c r="F1786" s="66"/>
      <c r="G1786" s="236"/>
      <c r="I1786" s="145"/>
      <c r="J1786" s="148"/>
      <c r="K1786" s="149"/>
    </row>
    <row r="1787" spans="2:11" s="17" customFormat="1" x14ac:dyDescent="0.25">
      <c r="B1787" s="55"/>
      <c r="C1787" s="55"/>
      <c r="F1787" s="66"/>
      <c r="G1787" s="236"/>
      <c r="I1787" s="145"/>
      <c r="J1787" s="148"/>
      <c r="K1787" s="149"/>
    </row>
    <row r="1788" spans="2:11" s="17" customFormat="1" x14ac:dyDescent="0.25">
      <c r="B1788" s="55"/>
      <c r="C1788" s="55"/>
      <c r="F1788" s="66"/>
      <c r="G1788" s="236"/>
      <c r="I1788" s="145"/>
      <c r="J1788" s="148"/>
      <c r="K1788" s="149"/>
    </row>
    <row r="1789" spans="2:11" s="17" customFormat="1" x14ac:dyDescent="0.25">
      <c r="B1789" s="55"/>
      <c r="C1789" s="55"/>
      <c r="F1789" s="66"/>
      <c r="G1789" s="236"/>
      <c r="I1789" s="145"/>
      <c r="J1789" s="148"/>
      <c r="K1789" s="149"/>
    </row>
    <row r="1790" spans="2:11" s="17" customFormat="1" x14ac:dyDescent="0.25">
      <c r="B1790" s="55"/>
      <c r="C1790" s="55"/>
      <c r="F1790" s="66"/>
      <c r="G1790" s="236"/>
      <c r="I1790" s="145"/>
      <c r="J1790" s="148"/>
      <c r="K1790" s="149"/>
    </row>
    <row r="1791" spans="2:11" s="17" customFormat="1" x14ac:dyDescent="0.25">
      <c r="B1791" s="55"/>
      <c r="C1791" s="55"/>
      <c r="F1791" s="66"/>
      <c r="G1791" s="236"/>
      <c r="I1791" s="145"/>
      <c r="J1791" s="148"/>
      <c r="K1791" s="149"/>
    </row>
    <row r="1792" spans="2:11" s="17" customFormat="1" x14ac:dyDescent="0.25">
      <c r="B1792" s="55"/>
      <c r="C1792" s="55"/>
      <c r="F1792" s="66"/>
      <c r="G1792" s="236"/>
      <c r="I1792" s="145"/>
      <c r="J1792" s="148"/>
      <c r="K1792" s="149"/>
    </row>
    <row r="1793" spans="2:11" s="17" customFormat="1" x14ac:dyDescent="0.25">
      <c r="B1793" s="55"/>
      <c r="C1793" s="55"/>
      <c r="F1793" s="66"/>
      <c r="G1793" s="236"/>
      <c r="I1793" s="145"/>
      <c r="J1793" s="148"/>
      <c r="K1793" s="149"/>
    </row>
    <row r="1794" spans="2:11" s="17" customFormat="1" x14ac:dyDescent="0.25">
      <c r="B1794" s="55"/>
      <c r="C1794" s="55"/>
      <c r="F1794" s="66"/>
      <c r="G1794" s="236"/>
      <c r="I1794" s="145"/>
      <c r="J1794" s="148"/>
      <c r="K1794" s="149"/>
    </row>
    <row r="1795" spans="2:11" s="17" customFormat="1" x14ac:dyDescent="0.25">
      <c r="B1795" s="55"/>
      <c r="C1795" s="55"/>
      <c r="F1795" s="66"/>
      <c r="G1795" s="236"/>
      <c r="I1795" s="145"/>
      <c r="J1795" s="148"/>
      <c r="K1795" s="149"/>
    </row>
    <row r="1796" spans="2:11" s="17" customFormat="1" x14ac:dyDescent="0.25">
      <c r="B1796" s="55"/>
      <c r="C1796" s="55"/>
      <c r="F1796" s="66"/>
      <c r="G1796" s="236"/>
      <c r="I1796" s="145"/>
      <c r="J1796" s="148"/>
      <c r="K1796" s="149"/>
    </row>
    <row r="1797" spans="2:11" s="17" customFormat="1" x14ac:dyDescent="0.25">
      <c r="B1797" s="55"/>
      <c r="C1797" s="55"/>
      <c r="F1797" s="66"/>
      <c r="G1797" s="236"/>
      <c r="I1797" s="145"/>
      <c r="J1797" s="148"/>
      <c r="K1797" s="149"/>
    </row>
    <row r="1798" spans="2:11" s="17" customFormat="1" x14ac:dyDescent="0.25">
      <c r="B1798" s="55"/>
      <c r="C1798" s="55"/>
      <c r="F1798" s="66"/>
      <c r="G1798" s="236"/>
      <c r="I1798" s="145"/>
      <c r="J1798" s="148"/>
      <c r="K1798" s="149"/>
    </row>
    <row r="1799" spans="2:11" s="17" customFormat="1" x14ac:dyDescent="0.25">
      <c r="B1799" s="55"/>
      <c r="C1799" s="55"/>
      <c r="F1799" s="66"/>
      <c r="G1799" s="236"/>
      <c r="I1799" s="145"/>
      <c r="J1799" s="148"/>
      <c r="K1799" s="149"/>
    </row>
    <row r="1800" spans="2:11" s="17" customFormat="1" x14ac:dyDescent="0.25">
      <c r="B1800" s="55"/>
      <c r="C1800" s="55"/>
      <c r="F1800" s="66"/>
      <c r="G1800" s="236"/>
      <c r="I1800" s="145"/>
      <c r="J1800" s="148"/>
      <c r="K1800" s="149"/>
    </row>
    <row r="1801" spans="2:11" s="17" customFormat="1" x14ac:dyDescent="0.25">
      <c r="B1801" s="55"/>
      <c r="C1801" s="55"/>
      <c r="F1801" s="66"/>
      <c r="G1801" s="236"/>
      <c r="I1801" s="145"/>
      <c r="J1801" s="148"/>
      <c r="K1801" s="149"/>
    </row>
    <row r="1802" spans="2:11" s="17" customFormat="1" x14ac:dyDescent="0.25">
      <c r="B1802" s="55"/>
      <c r="C1802" s="55"/>
      <c r="F1802" s="66"/>
      <c r="G1802" s="236"/>
      <c r="I1802" s="145"/>
      <c r="J1802" s="148"/>
      <c r="K1802" s="149"/>
    </row>
    <row r="1803" spans="2:11" s="17" customFormat="1" x14ac:dyDescent="0.25">
      <c r="B1803" s="55"/>
      <c r="C1803" s="55"/>
      <c r="F1803" s="66"/>
      <c r="G1803" s="236"/>
      <c r="I1803" s="145"/>
      <c r="J1803" s="148"/>
      <c r="K1803" s="149"/>
    </row>
    <row r="1804" spans="2:11" s="17" customFormat="1" x14ac:dyDescent="0.25">
      <c r="B1804" s="55"/>
      <c r="C1804" s="55"/>
      <c r="F1804" s="66"/>
      <c r="G1804" s="236"/>
      <c r="I1804" s="145"/>
      <c r="J1804" s="148"/>
      <c r="K1804" s="149"/>
    </row>
    <row r="1805" spans="2:11" s="17" customFormat="1" x14ac:dyDescent="0.25">
      <c r="B1805" s="55"/>
      <c r="C1805" s="55"/>
      <c r="F1805" s="66"/>
      <c r="G1805" s="236"/>
      <c r="I1805" s="145"/>
      <c r="J1805" s="148"/>
      <c r="K1805" s="149"/>
    </row>
    <row r="1806" spans="2:11" s="17" customFormat="1" x14ac:dyDescent="0.25">
      <c r="B1806" s="55"/>
      <c r="C1806" s="55"/>
      <c r="F1806" s="66"/>
      <c r="G1806" s="236"/>
      <c r="I1806" s="145"/>
      <c r="J1806" s="148"/>
      <c r="K1806" s="149"/>
    </row>
    <row r="1807" spans="2:11" s="17" customFormat="1" x14ac:dyDescent="0.25">
      <c r="B1807" s="55"/>
      <c r="C1807" s="55"/>
      <c r="F1807" s="66"/>
      <c r="G1807" s="236"/>
      <c r="I1807" s="145"/>
      <c r="J1807" s="148"/>
      <c r="K1807" s="149"/>
    </row>
    <row r="1808" spans="2:11" s="17" customFormat="1" x14ac:dyDescent="0.25">
      <c r="B1808" s="55"/>
      <c r="C1808" s="55"/>
      <c r="F1808" s="66"/>
      <c r="G1808" s="236"/>
      <c r="I1808" s="145"/>
      <c r="J1808" s="148"/>
      <c r="K1808" s="149"/>
    </row>
    <row r="1809" spans="2:11" s="17" customFormat="1" x14ac:dyDescent="0.25">
      <c r="B1809" s="55"/>
      <c r="C1809" s="55"/>
      <c r="F1809" s="66"/>
      <c r="G1809" s="236"/>
      <c r="I1809" s="145"/>
      <c r="J1809" s="148"/>
      <c r="K1809" s="149"/>
    </row>
    <row r="1810" spans="2:11" s="17" customFormat="1" x14ac:dyDescent="0.25">
      <c r="B1810" s="55"/>
      <c r="C1810" s="55"/>
      <c r="F1810" s="66"/>
      <c r="G1810" s="236"/>
      <c r="I1810" s="145"/>
      <c r="J1810" s="148"/>
      <c r="K1810" s="149"/>
    </row>
    <row r="1811" spans="2:11" s="17" customFormat="1" x14ac:dyDescent="0.25">
      <c r="B1811" s="55"/>
      <c r="C1811" s="55"/>
      <c r="F1811" s="66"/>
      <c r="G1811" s="236"/>
      <c r="I1811" s="145"/>
      <c r="J1811" s="148"/>
      <c r="K1811" s="149"/>
    </row>
    <row r="1812" spans="2:11" s="17" customFormat="1" x14ac:dyDescent="0.25">
      <c r="B1812" s="55"/>
      <c r="C1812" s="55"/>
      <c r="F1812" s="66"/>
      <c r="G1812" s="236"/>
      <c r="I1812" s="145"/>
      <c r="J1812" s="148"/>
      <c r="K1812" s="149"/>
    </row>
    <row r="1813" spans="2:11" s="17" customFormat="1" x14ac:dyDescent="0.25">
      <c r="B1813" s="55"/>
      <c r="C1813" s="55"/>
      <c r="F1813" s="66"/>
      <c r="G1813" s="236"/>
      <c r="I1813" s="145"/>
      <c r="J1813" s="148"/>
      <c r="K1813" s="149"/>
    </row>
    <row r="1814" spans="2:11" s="17" customFormat="1" x14ac:dyDescent="0.25">
      <c r="B1814" s="55"/>
      <c r="C1814" s="55"/>
      <c r="F1814" s="66"/>
      <c r="G1814" s="236"/>
      <c r="I1814" s="145"/>
      <c r="J1814" s="148"/>
      <c r="K1814" s="149"/>
    </row>
    <row r="1815" spans="2:11" s="17" customFormat="1" x14ac:dyDescent="0.25">
      <c r="B1815" s="55"/>
      <c r="C1815" s="55"/>
      <c r="F1815" s="66"/>
      <c r="G1815" s="236"/>
      <c r="I1815" s="145"/>
      <c r="J1815" s="148"/>
      <c r="K1815" s="149"/>
    </row>
    <row r="1816" spans="2:11" s="17" customFormat="1" x14ac:dyDescent="0.25">
      <c r="B1816" s="55"/>
      <c r="C1816" s="55"/>
      <c r="F1816" s="66"/>
      <c r="G1816" s="236"/>
      <c r="I1816" s="145"/>
      <c r="J1816" s="148"/>
      <c r="K1816" s="149"/>
    </row>
    <row r="1817" spans="2:11" s="17" customFormat="1" x14ac:dyDescent="0.25">
      <c r="B1817" s="55"/>
      <c r="C1817" s="55"/>
      <c r="F1817" s="66"/>
      <c r="G1817" s="236"/>
      <c r="I1817" s="145"/>
      <c r="J1817" s="148"/>
      <c r="K1817" s="149"/>
    </row>
    <row r="1818" spans="2:11" s="17" customFormat="1" x14ac:dyDescent="0.25">
      <c r="B1818" s="55"/>
      <c r="C1818" s="55"/>
      <c r="F1818" s="66"/>
      <c r="G1818" s="236"/>
      <c r="I1818" s="145"/>
      <c r="J1818" s="148"/>
      <c r="K1818" s="149"/>
    </row>
    <row r="1819" spans="2:11" s="17" customFormat="1" x14ac:dyDescent="0.25">
      <c r="B1819" s="55"/>
      <c r="C1819" s="55"/>
      <c r="F1819" s="66"/>
      <c r="G1819" s="236"/>
      <c r="I1819" s="145"/>
      <c r="J1819" s="148"/>
      <c r="K1819" s="149"/>
    </row>
    <row r="1820" spans="2:11" s="17" customFormat="1" x14ac:dyDescent="0.25">
      <c r="B1820" s="55"/>
      <c r="C1820" s="55"/>
      <c r="F1820" s="66"/>
      <c r="G1820" s="236"/>
      <c r="I1820" s="145"/>
      <c r="J1820" s="148"/>
      <c r="K1820" s="149"/>
    </row>
    <row r="1821" spans="2:11" s="17" customFormat="1" x14ac:dyDescent="0.25">
      <c r="B1821" s="55"/>
      <c r="C1821" s="55"/>
      <c r="F1821" s="66"/>
      <c r="G1821" s="236"/>
      <c r="I1821" s="145"/>
      <c r="J1821" s="148"/>
      <c r="K1821" s="149"/>
    </row>
    <row r="1822" spans="2:11" s="17" customFormat="1" x14ac:dyDescent="0.25">
      <c r="B1822" s="55"/>
      <c r="C1822" s="55"/>
      <c r="F1822" s="66"/>
      <c r="G1822" s="236"/>
      <c r="I1822" s="145"/>
      <c r="J1822" s="148"/>
      <c r="K1822" s="149"/>
    </row>
    <row r="1823" spans="2:11" s="17" customFormat="1" x14ac:dyDescent="0.25">
      <c r="B1823" s="55"/>
      <c r="C1823" s="55"/>
      <c r="F1823" s="66"/>
      <c r="G1823" s="236"/>
      <c r="I1823" s="145"/>
      <c r="J1823" s="148"/>
      <c r="K1823" s="149"/>
    </row>
    <row r="1824" spans="2:11" s="17" customFormat="1" x14ac:dyDescent="0.25">
      <c r="B1824" s="55"/>
      <c r="C1824" s="55"/>
      <c r="F1824" s="66"/>
      <c r="G1824" s="236"/>
      <c r="I1824" s="145"/>
      <c r="J1824" s="148"/>
      <c r="K1824" s="149"/>
    </row>
    <row r="1825" spans="2:11" s="17" customFormat="1" x14ac:dyDescent="0.25">
      <c r="B1825" s="55"/>
      <c r="C1825" s="55"/>
      <c r="F1825" s="66"/>
      <c r="G1825" s="236"/>
      <c r="I1825" s="145"/>
      <c r="J1825" s="148"/>
      <c r="K1825" s="149"/>
    </row>
    <row r="1826" spans="2:11" s="17" customFormat="1" x14ac:dyDescent="0.25">
      <c r="B1826" s="55"/>
      <c r="C1826" s="55"/>
      <c r="F1826" s="66"/>
      <c r="G1826" s="236"/>
      <c r="I1826" s="145"/>
      <c r="J1826" s="148"/>
      <c r="K1826" s="149"/>
    </row>
    <row r="1827" spans="2:11" s="17" customFormat="1" x14ac:dyDescent="0.25">
      <c r="B1827" s="55"/>
      <c r="C1827" s="55"/>
      <c r="F1827" s="66"/>
      <c r="G1827" s="236"/>
      <c r="I1827" s="145"/>
      <c r="J1827" s="148"/>
      <c r="K1827" s="149"/>
    </row>
    <row r="1828" spans="2:11" s="17" customFormat="1" x14ac:dyDescent="0.25">
      <c r="B1828" s="55"/>
      <c r="C1828" s="55"/>
      <c r="F1828" s="66"/>
      <c r="G1828" s="236"/>
      <c r="I1828" s="145"/>
      <c r="J1828" s="148"/>
      <c r="K1828" s="149"/>
    </row>
    <row r="1829" spans="2:11" s="17" customFormat="1" x14ac:dyDescent="0.25">
      <c r="B1829" s="55"/>
      <c r="C1829" s="55"/>
      <c r="F1829" s="66"/>
      <c r="G1829" s="236"/>
      <c r="I1829" s="145"/>
      <c r="J1829" s="148"/>
      <c r="K1829" s="149"/>
    </row>
    <row r="1830" spans="2:11" s="17" customFormat="1" x14ac:dyDescent="0.25">
      <c r="B1830" s="55"/>
      <c r="C1830" s="55"/>
      <c r="F1830" s="66"/>
      <c r="G1830" s="236"/>
      <c r="I1830" s="145"/>
      <c r="J1830" s="148"/>
      <c r="K1830" s="149"/>
    </row>
    <row r="1831" spans="2:11" s="17" customFormat="1" x14ac:dyDescent="0.25">
      <c r="B1831" s="55"/>
      <c r="C1831" s="55"/>
      <c r="F1831" s="66"/>
      <c r="G1831" s="236"/>
      <c r="I1831" s="145"/>
      <c r="J1831" s="148"/>
      <c r="K1831" s="149"/>
    </row>
    <row r="1832" spans="2:11" s="17" customFormat="1" x14ac:dyDescent="0.25">
      <c r="B1832" s="55"/>
      <c r="C1832" s="55"/>
      <c r="F1832" s="66"/>
      <c r="G1832" s="236"/>
      <c r="I1832" s="145"/>
      <c r="J1832" s="148"/>
      <c r="K1832" s="149"/>
    </row>
    <row r="1833" spans="2:11" s="17" customFormat="1" x14ac:dyDescent="0.25">
      <c r="B1833" s="55"/>
      <c r="C1833" s="55"/>
      <c r="F1833" s="66"/>
      <c r="G1833" s="236"/>
      <c r="I1833" s="145"/>
      <c r="J1833" s="148"/>
      <c r="K1833" s="149"/>
    </row>
    <row r="1834" spans="2:11" s="17" customFormat="1" x14ac:dyDescent="0.25">
      <c r="B1834" s="55"/>
      <c r="C1834" s="55"/>
      <c r="F1834" s="66"/>
      <c r="G1834" s="236"/>
      <c r="I1834" s="145"/>
      <c r="J1834" s="148"/>
      <c r="K1834" s="149"/>
    </row>
    <row r="1835" spans="2:11" s="17" customFormat="1" x14ac:dyDescent="0.25">
      <c r="B1835" s="55"/>
      <c r="C1835" s="55"/>
      <c r="F1835" s="66"/>
      <c r="G1835" s="236"/>
      <c r="I1835" s="145"/>
      <c r="J1835" s="148"/>
      <c r="K1835" s="149"/>
    </row>
    <row r="1836" spans="2:11" s="17" customFormat="1" x14ac:dyDescent="0.25">
      <c r="B1836" s="55"/>
      <c r="C1836" s="55"/>
      <c r="F1836" s="66"/>
      <c r="G1836" s="236"/>
      <c r="I1836" s="145"/>
      <c r="J1836" s="148"/>
      <c r="K1836" s="149"/>
    </row>
    <row r="1837" spans="2:11" s="17" customFormat="1" x14ac:dyDescent="0.25">
      <c r="B1837" s="55"/>
      <c r="C1837" s="55"/>
      <c r="F1837" s="66"/>
      <c r="G1837" s="236"/>
      <c r="I1837" s="145"/>
      <c r="J1837" s="148"/>
      <c r="K1837" s="149"/>
    </row>
    <row r="1838" spans="2:11" s="17" customFormat="1" x14ac:dyDescent="0.25">
      <c r="B1838" s="55"/>
      <c r="C1838" s="55"/>
      <c r="F1838" s="66"/>
      <c r="G1838" s="236"/>
      <c r="I1838" s="145"/>
      <c r="J1838" s="148"/>
      <c r="K1838" s="149"/>
    </row>
    <row r="1839" spans="2:11" s="17" customFormat="1" x14ac:dyDescent="0.25">
      <c r="B1839" s="55"/>
      <c r="C1839" s="55"/>
      <c r="F1839" s="66"/>
      <c r="G1839" s="236"/>
      <c r="I1839" s="145"/>
      <c r="J1839" s="148"/>
      <c r="K1839" s="149"/>
    </row>
    <row r="1840" spans="2:11" s="17" customFormat="1" x14ac:dyDescent="0.25">
      <c r="B1840" s="55"/>
      <c r="C1840" s="55"/>
      <c r="F1840" s="66"/>
      <c r="G1840" s="236"/>
      <c r="I1840" s="145"/>
      <c r="J1840" s="148"/>
      <c r="K1840" s="149"/>
    </row>
    <row r="1841" spans="2:11" s="17" customFormat="1" x14ac:dyDescent="0.25">
      <c r="B1841" s="55"/>
      <c r="C1841" s="55"/>
      <c r="F1841" s="66"/>
      <c r="G1841" s="236"/>
      <c r="I1841" s="145"/>
      <c r="J1841" s="148"/>
      <c r="K1841" s="149"/>
    </row>
    <row r="1842" spans="2:11" s="17" customFormat="1" x14ac:dyDescent="0.25">
      <c r="B1842" s="55"/>
      <c r="C1842" s="55"/>
      <c r="F1842" s="66"/>
      <c r="G1842" s="236"/>
      <c r="I1842" s="145"/>
      <c r="J1842" s="148"/>
      <c r="K1842" s="149"/>
    </row>
    <row r="1843" spans="2:11" s="17" customFormat="1" x14ac:dyDescent="0.25">
      <c r="B1843" s="55"/>
      <c r="C1843" s="55"/>
      <c r="F1843" s="66"/>
      <c r="G1843" s="236"/>
      <c r="I1843" s="145"/>
      <c r="J1843" s="148"/>
      <c r="K1843" s="149"/>
    </row>
    <row r="1844" spans="2:11" s="17" customFormat="1" x14ac:dyDescent="0.25">
      <c r="B1844" s="55"/>
      <c r="C1844" s="55"/>
      <c r="F1844" s="66"/>
      <c r="G1844" s="236"/>
      <c r="I1844" s="145"/>
      <c r="J1844" s="148"/>
      <c r="K1844" s="149"/>
    </row>
    <row r="1845" spans="2:11" s="17" customFormat="1" x14ac:dyDescent="0.25">
      <c r="B1845" s="55"/>
      <c r="C1845" s="55"/>
      <c r="F1845" s="66"/>
      <c r="G1845" s="236"/>
      <c r="I1845" s="145"/>
      <c r="J1845" s="148"/>
      <c r="K1845" s="149"/>
    </row>
    <row r="1846" spans="2:11" s="17" customFormat="1" x14ac:dyDescent="0.25">
      <c r="B1846" s="55"/>
      <c r="C1846" s="55"/>
      <c r="F1846" s="66"/>
      <c r="G1846" s="236"/>
      <c r="I1846" s="145"/>
      <c r="J1846" s="148"/>
      <c r="K1846" s="149"/>
    </row>
    <row r="1847" spans="2:11" s="17" customFormat="1" x14ac:dyDescent="0.25">
      <c r="B1847" s="55"/>
      <c r="C1847" s="55"/>
      <c r="F1847" s="66"/>
      <c r="G1847" s="236"/>
      <c r="I1847" s="145"/>
      <c r="J1847" s="148"/>
      <c r="K1847" s="149"/>
    </row>
    <row r="1848" spans="2:11" s="17" customFormat="1" x14ac:dyDescent="0.25">
      <c r="B1848" s="55"/>
      <c r="C1848" s="55"/>
      <c r="F1848" s="66"/>
      <c r="G1848" s="236"/>
      <c r="I1848" s="145"/>
      <c r="J1848" s="148"/>
      <c r="K1848" s="149"/>
    </row>
    <row r="1849" spans="2:11" s="17" customFormat="1" x14ac:dyDescent="0.25">
      <c r="B1849" s="55"/>
      <c r="C1849" s="55"/>
      <c r="F1849" s="66"/>
      <c r="G1849" s="236"/>
      <c r="I1849" s="145"/>
      <c r="J1849" s="148"/>
      <c r="K1849" s="149"/>
    </row>
    <row r="1850" spans="2:11" s="17" customFormat="1" x14ac:dyDescent="0.25">
      <c r="B1850" s="55"/>
      <c r="C1850" s="55"/>
      <c r="F1850" s="66"/>
      <c r="G1850" s="236"/>
      <c r="I1850" s="145"/>
      <c r="J1850" s="148"/>
      <c r="K1850" s="149"/>
    </row>
    <row r="1851" spans="2:11" s="17" customFormat="1" x14ac:dyDescent="0.25">
      <c r="B1851" s="55"/>
      <c r="C1851" s="55"/>
      <c r="F1851" s="66"/>
      <c r="G1851" s="236"/>
      <c r="I1851" s="145"/>
      <c r="J1851" s="148"/>
      <c r="K1851" s="149"/>
    </row>
    <row r="1852" spans="2:11" s="17" customFormat="1" x14ac:dyDescent="0.25">
      <c r="B1852" s="55"/>
      <c r="C1852" s="55"/>
      <c r="F1852" s="66"/>
      <c r="G1852" s="236"/>
      <c r="I1852" s="145"/>
      <c r="J1852" s="148"/>
      <c r="K1852" s="149"/>
    </row>
    <row r="1853" spans="2:11" s="17" customFormat="1" x14ac:dyDescent="0.25">
      <c r="B1853" s="55"/>
      <c r="C1853" s="55"/>
      <c r="F1853" s="66"/>
      <c r="G1853" s="236"/>
      <c r="I1853" s="145"/>
      <c r="J1853" s="148"/>
      <c r="K1853" s="149"/>
    </row>
    <row r="1854" spans="2:11" s="17" customFormat="1" x14ac:dyDescent="0.25">
      <c r="B1854" s="55"/>
      <c r="C1854" s="55"/>
      <c r="F1854" s="66"/>
      <c r="G1854" s="236"/>
      <c r="I1854" s="145"/>
      <c r="J1854" s="148"/>
      <c r="K1854" s="149"/>
    </row>
    <row r="1855" spans="2:11" s="17" customFormat="1" x14ac:dyDescent="0.25">
      <c r="B1855" s="55"/>
      <c r="C1855" s="55"/>
      <c r="F1855" s="66"/>
      <c r="G1855" s="236"/>
      <c r="I1855" s="145"/>
      <c r="J1855" s="148"/>
      <c r="K1855" s="149"/>
    </row>
    <row r="1856" spans="2:11" s="17" customFormat="1" x14ac:dyDescent="0.25">
      <c r="B1856" s="55"/>
      <c r="C1856" s="55"/>
      <c r="F1856" s="66"/>
      <c r="G1856" s="236"/>
      <c r="I1856" s="145"/>
      <c r="J1856" s="148"/>
      <c r="K1856" s="149"/>
    </row>
    <row r="1857" spans="2:11" s="17" customFormat="1" x14ac:dyDescent="0.25">
      <c r="B1857" s="55"/>
      <c r="C1857" s="55"/>
      <c r="F1857" s="66"/>
      <c r="G1857" s="236"/>
      <c r="I1857" s="145"/>
      <c r="J1857" s="148"/>
      <c r="K1857" s="149"/>
    </row>
    <row r="1858" spans="2:11" s="17" customFormat="1" x14ac:dyDescent="0.25">
      <c r="B1858" s="55"/>
      <c r="C1858" s="55"/>
      <c r="D1858" s="134"/>
      <c r="E1858" s="134"/>
      <c r="F1858" s="66"/>
      <c r="G1858" s="236"/>
      <c r="I1858" s="146"/>
      <c r="J1858" s="147"/>
      <c r="K1858" s="150"/>
    </row>
  </sheetData>
  <sheetProtection password="EC77" sheet="1" objects="1" scenarios="1" formatColumns="0"/>
  <mergeCells count="7">
    <mergeCell ref="P3:P4"/>
    <mergeCell ref="A1:N1"/>
    <mergeCell ref="D2:K3"/>
    <mergeCell ref="L2:N5"/>
    <mergeCell ref="D4:G4"/>
    <mergeCell ref="H4:I4"/>
    <mergeCell ref="J4:K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J1684"/>
  <sheetViews>
    <sheetView zoomScaleNormal="100" workbookViewId="0">
      <pane xSplit="2" ySplit="4" topLeftCell="C56" activePane="bottomRight" state="frozen"/>
      <selection pane="topRight" activeCell="C1" sqref="C1"/>
      <selection pane="bottomLeft" activeCell="A4" sqref="A4"/>
      <selection pane="bottomRight" activeCell="A75" sqref="A75:XFD76"/>
    </sheetView>
  </sheetViews>
  <sheetFormatPr defaultColWidth="9.140625" defaultRowHeight="15" x14ac:dyDescent="0.25"/>
  <cols>
    <col min="1" max="1" width="50.7109375" style="112" bestFit="1" customWidth="1"/>
    <col min="2" max="2" width="10.85546875" style="265" bestFit="1" customWidth="1"/>
    <col min="3" max="3" width="9.28515625" style="90" bestFit="1" customWidth="1"/>
    <col min="4" max="5" width="11.140625" style="151" customWidth="1"/>
    <col min="6" max="6" width="10.28515625" style="151" customWidth="1"/>
    <col min="7" max="7" width="11.140625" style="151" customWidth="1"/>
    <col min="8" max="8" width="13.140625" style="151" customWidth="1"/>
    <col min="9" max="9" width="11.140625" style="151" customWidth="1"/>
    <col min="10" max="10" width="13.140625" style="152" customWidth="1"/>
    <col min="11" max="11" width="13.5703125" style="152" customWidth="1"/>
    <col min="12" max="12" width="12.85546875" style="152" customWidth="1"/>
    <col min="13" max="13" width="11.140625" style="130" customWidth="1"/>
    <col min="14" max="15" width="11" style="130" customWidth="1"/>
    <col min="16" max="16" width="12.85546875" style="136" customWidth="1"/>
    <col min="17" max="17" width="14.85546875" style="136" customWidth="1"/>
    <col min="18" max="18" width="13.85546875" style="136" customWidth="1"/>
    <col min="19" max="19" width="15" style="137" customWidth="1"/>
    <col min="20" max="20" width="13.85546875" style="138" customWidth="1"/>
    <col min="21" max="21" width="11.7109375" style="139" customWidth="1"/>
    <col min="22" max="22" width="13.42578125" style="139" bestFit="1" customWidth="1"/>
    <col min="23" max="23" width="12.42578125" style="139" customWidth="1"/>
    <col min="24" max="24" width="14.140625" style="159" customWidth="1"/>
    <col min="25" max="25" width="13.7109375" style="167" customWidth="1"/>
    <col min="26" max="26" width="11.5703125" style="161" customWidth="1"/>
    <col min="27" max="27" width="10.85546875" style="161" customWidth="1"/>
    <col min="28" max="28" width="12" style="161" customWidth="1"/>
    <col min="29" max="29" width="11.42578125" style="161" customWidth="1"/>
    <col min="30" max="30" width="14.7109375" style="90" customWidth="1"/>
    <col min="31" max="842" width="8.85546875" customWidth="1"/>
    <col min="843" max="16384" width="9.140625" style="90"/>
  </cols>
  <sheetData>
    <row r="1" spans="1:842" s="112" customFormat="1" ht="18.75" x14ac:dyDescent="0.3">
      <c r="A1" s="79"/>
      <c r="B1" s="374"/>
      <c r="C1" s="79"/>
      <c r="D1" s="873" t="s">
        <v>266</v>
      </c>
      <c r="E1" s="873"/>
      <c r="F1" s="873"/>
      <c r="G1" s="873"/>
      <c r="H1" s="873"/>
      <c r="I1" s="873"/>
      <c r="J1" s="873"/>
      <c r="K1" s="873"/>
      <c r="L1" s="873"/>
      <c r="M1" s="873"/>
      <c r="N1" s="873"/>
      <c r="O1" s="873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873"/>
      <c r="AA1" s="873"/>
      <c r="AB1" s="873"/>
      <c r="AC1" s="873"/>
      <c r="AD1" s="873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</row>
    <row r="2" spans="1:842" ht="32.25" customHeight="1" x14ac:dyDescent="0.25">
      <c r="A2" s="784" t="s">
        <v>0</v>
      </c>
      <c r="B2" s="874"/>
      <c r="C2" s="875"/>
      <c r="D2" s="880" t="s">
        <v>75</v>
      </c>
      <c r="E2" s="881"/>
      <c r="F2" s="881"/>
      <c r="G2" s="881"/>
      <c r="H2" s="881"/>
      <c r="I2" s="881"/>
      <c r="J2" s="881"/>
      <c r="K2" s="881"/>
      <c r="L2" s="881"/>
      <c r="M2" s="881"/>
      <c r="N2" s="881"/>
      <c r="O2" s="881"/>
      <c r="P2" s="881"/>
      <c r="Q2" s="881"/>
      <c r="R2" s="881"/>
      <c r="S2" s="881"/>
      <c r="T2" s="881"/>
      <c r="U2" s="881"/>
      <c r="V2" s="882"/>
      <c r="W2" s="882"/>
      <c r="X2" s="881"/>
      <c r="Y2" s="881"/>
      <c r="Z2" s="881"/>
      <c r="AA2" s="881"/>
      <c r="AB2" s="881"/>
      <c r="AC2" s="881"/>
      <c r="AD2" s="883"/>
    </row>
    <row r="3" spans="1:842" x14ac:dyDescent="0.25">
      <c r="A3" s="785"/>
      <c r="B3" s="876"/>
      <c r="C3" s="877"/>
      <c r="D3" s="319">
        <v>1</v>
      </c>
      <c r="E3" s="319">
        <v>2</v>
      </c>
      <c r="F3" s="319">
        <v>3</v>
      </c>
      <c r="G3" s="319">
        <v>4</v>
      </c>
      <c r="H3" s="319">
        <v>5</v>
      </c>
      <c r="I3" s="319">
        <v>6</v>
      </c>
      <c r="J3" s="320">
        <v>7</v>
      </c>
      <c r="K3" s="320">
        <v>8</v>
      </c>
      <c r="L3" s="320">
        <v>9</v>
      </c>
      <c r="M3" s="321">
        <v>10</v>
      </c>
      <c r="N3" s="321">
        <v>11</v>
      </c>
      <c r="O3" s="321">
        <v>12</v>
      </c>
      <c r="P3" s="322">
        <v>14</v>
      </c>
      <c r="Q3" s="322">
        <v>15</v>
      </c>
      <c r="R3" s="322">
        <v>16</v>
      </c>
      <c r="S3" s="322">
        <v>17</v>
      </c>
      <c r="T3" s="322">
        <v>18</v>
      </c>
      <c r="U3" s="322">
        <v>19</v>
      </c>
      <c r="V3" s="323">
        <v>20</v>
      </c>
      <c r="W3" s="323">
        <v>21</v>
      </c>
      <c r="X3" s="324">
        <v>22</v>
      </c>
      <c r="Y3" s="359">
        <v>23</v>
      </c>
      <c r="Z3" s="325">
        <v>24</v>
      </c>
      <c r="AA3" s="325">
        <v>25</v>
      </c>
      <c r="AB3" s="325">
        <v>26</v>
      </c>
      <c r="AC3" s="326">
        <v>27</v>
      </c>
      <c r="AD3" s="326">
        <v>28</v>
      </c>
    </row>
    <row r="4" spans="1:842" ht="30" customHeight="1" x14ac:dyDescent="0.25">
      <c r="A4" s="786"/>
      <c r="B4" s="878"/>
      <c r="C4" s="879"/>
      <c r="D4" s="884" t="s">
        <v>117</v>
      </c>
      <c r="E4" s="885"/>
      <c r="F4" s="886"/>
      <c r="G4" s="887" t="s">
        <v>118</v>
      </c>
      <c r="H4" s="888"/>
      <c r="I4" s="888"/>
      <c r="J4" s="888"/>
      <c r="K4" s="888"/>
      <c r="L4" s="888"/>
      <c r="M4" s="888"/>
      <c r="N4" s="888"/>
      <c r="O4" s="889"/>
      <c r="P4" s="894" t="s">
        <v>119</v>
      </c>
      <c r="Q4" s="895"/>
      <c r="R4" s="895"/>
      <c r="S4" s="895"/>
      <c r="T4" s="895"/>
      <c r="U4" s="895"/>
      <c r="V4" s="895"/>
      <c r="W4" s="896"/>
      <c r="X4" s="892" t="s">
        <v>161</v>
      </c>
      <c r="Y4" s="893"/>
      <c r="Z4" s="890" t="s">
        <v>271</v>
      </c>
      <c r="AA4" s="891"/>
      <c r="AB4" s="891"/>
      <c r="AC4" s="891"/>
      <c r="AD4" s="891"/>
    </row>
    <row r="5" spans="1:842" s="112" customFormat="1" ht="93.75" customHeight="1" x14ac:dyDescent="0.25">
      <c r="A5" s="231" t="s">
        <v>142</v>
      </c>
      <c r="B5" s="264" t="s">
        <v>3</v>
      </c>
      <c r="C5" s="231" t="s">
        <v>89</v>
      </c>
      <c r="D5" s="668" t="s">
        <v>146</v>
      </c>
      <c r="E5" s="668" t="s">
        <v>76</v>
      </c>
      <c r="F5" s="668" t="s">
        <v>147</v>
      </c>
      <c r="G5" s="668" t="s">
        <v>148</v>
      </c>
      <c r="H5" s="668" t="s">
        <v>149</v>
      </c>
      <c r="I5" s="668" t="s">
        <v>80</v>
      </c>
      <c r="J5" s="668" t="s">
        <v>215</v>
      </c>
      <c r="K5" s="668" t="s">
        <v>159</v>
      </c>
      <c r="L5" s="668" t="s">
        <v>216</v>
      </c>
      <c r="M5" s="668" t="s">
        <v>217</v>
      </c>
      <c r="N5" s="668" t="s">
        <v>218</v>
      </c>
      <c r="O5" s="668" t="s">
        <v>219</v>
      </c>
      <c r="P5" s="669" t="s">
        <v>81</v>
      </c>
      <c r="Q5" s="669" t="s">
        <v>82</v>
      </c>
      <c r="R5" s="669" t="s">
        <v>83</v>
      </c>
      <c r="S5" s="669" t="s">
        <v>141</v>
      </c>
      <c r="T5" s="669" t="s">
        <v>140</v>
      </c>
      <c r="U5" s="669" t="s">
        <v>272</v>
      </c>
      <c r="V5" s="670" t="s">
        <v>275</v>
      </c>
      <c r="W5" s="670" t="s">
        <v>274</v>
      </c>
      <c r="X5" s="669" t="s">
        <v>268</v>
      </c>
      <c r="Y5" s="669" t="s">
        <v>269</v>
      </c>
      <c r="Z5" s="671" t="s">
        <v>91</v>
      </c>
      <c r="AA5" s="671" t="s">
        <v>92</v>
      </c>
      <c r="AB5" s="671" t="s">
        <v>93</v>
      </c>
      <c r="AC5" s="671" t="s">
        <v>160</v>
      </c>
      <c r="AD5" s="672" t="s">
        <v>270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</row>
    <row r="6" spans="1:842" x14ac:dyDescent="0.25">
      <c r="A6" s="271" t="s">
        <v>153</v>
      </c>
      <c r="B6" s="272" t="s">
        <v>5</v>
      </c>
      <c r="C6" s="273">
        <v>333</v>
      </c>
      <c r="D6" s="348">
        <v>14</v>
      </c>
      <c r="E6" s="348">
        <v>6.6</v>
      </c>
      <c r="F6" s="349">
        <v>4.4000000000000004</v>
      </c>
      <c r="G6" s="349">
        <v>3.5062496875</v>
      </c>
      <c r="H6" s="349">
        <v>3.4965515862068965</v>
      </c>
      <c r="I6" s="349">
        <v>3.5409090454545451</v>
      </c>
      <c r="J6" s="518">
        <v>148.17021276595744</v>
      </c>
      <c r="K6" s="518">
        <v>148.32</v>
      </c>
      <c r="L6" s="518">
        <v>148.1875</v>
      </c>
      <c r="M6" s="519">
        <v>149.91489361702128</v>
      </c>
      <c r="N6" s="519">
        <v>151.12</v>
      </c>
      <c r="O6" s="519">
        <v>151.5</v>
      </c>
      <c r="P6" s="360">
        <v>0.1857</v>
      </c>
      <c r="Q6" s="360">
        <v>0.2424</v>
      </c>
      <c r="R6" s="360">
        <v>0.2273</v>
      </c>
      <c r="S6" s="333">
        <v>0.5806</v>
      </c>
      <c r="T6" s="332">
        <v>2.2700000000000001E-2</v>
      </c>
      <c r="U6" s="513">
        <v>9</v>
      </c>
      <c r="V6" s="410">
        <v>0.66666666666666663</v>
      </c>
      <c r="W6" s="410">
        <v>0.33333333333333331</v>
      </c>
      <c r="X6" s="334">
        <v>23</v>
      </c>
      <c r="Y6" s="510">
        <v>0.63888888888888884</v>
      </c>
      <c r="Z6" s="341">
        <v>13</v>
      </c>
      <c r="AA6" s="341">
        <v>1</v>
      </c>
      <c r="AB6" s="341">
        <v>3</v>
      </c>
      <c r="AC6" s="341">
        <v>17</v>
      </c>
      <c r="AD6" s="72">
        <v>22</v>
      </c>
    </row>
    <row r="7" spans="1:842" s="112" customFormat="1" x14ac:dyDescent="0.25">
      <c r="A7" s="271" t="s">
        <v>154</v>
      </c>
      <c r="B7" s="272" t="s">
        <v>172</v>
      </c>
      <c r="C7" s="273">
        <v>332</v>
      </c>
      <c r="D7" s="348">
        <v>35</v>
      </c>
      <c r="E7" s="348">
        <v>14.4</v>
      </c>
      <c r="F7" s="349">
        <v>9.8000000000000007</v>
      </c>
      <c r="G7" s="349">
        <v>3.4249997999999997</v>
      </c>
      <c r="H7" s="349">
        <v>3.4411763529411767</v>
      </c>
      <c r="I7" s="349">
        <v>3.378571285714286</v>
      </c>
      <c r="J7" s="518">
        <v>159.03546099290782</v>
      </c>
      <c r="K7" s="518">
        <v>157.52238805970148</v>
      </c>
      <c r="L7" s="518">
        <v>156.37777777777777</v>
      </c>
      <c r="M7" s="519">
        <v>149.26950354609929</v>
      </c>
      <c r="N7" s="519">
        <v>149.76119402985074</v>
      </c>
      <c r="O7" s="519">
        <v>149.75555555555556</v>
      </c>
      <c r="P7" s="360">
        <v>2.29E-2</v>
      </c>
      <c r="Q7" s="360">
        <v>5.5599999999999997E-2</v>
      </c>
      <c r="R7" s="360">
        <v>6.1199999999999997E-2</v>
      </c>
      <c r="S7" s="332">
        <v>0.37540000000000001</v>
      </c>
      <c r="T7" s="332">
        <v>0.64610000000000001</v>
      </c>
      <c r="U7" s="513">
        <v>3</v>
      </c>
      <c r="V7" s="410">
        <v>1</v>
      </c>
      <c r="W7" s="410">
        <v>0</v>
      </c>
      <c r="X7" s="334">
        <v>44</v>
      </c>
      <c r="Y7" s="510">
        <v>0.74576271186440679</v>
      </c>
      <c r="Z7" s="341">
        <v>2</v>
      </c>
      <c r="AA7" s="341">
        <v>2</v>
      </c>
      <c r="AB7" s="341">
        <v>3</v>
      </c>
      <c r="AC7" s="341">
        <v>7</v>
      </c>
      <c r="AD7" s="72">
        <v>41</v>
      </c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</row>
    <row r="8" spans="1:842" x14ac:dyDescent="0.25">
      <c r="A8" s="271" t="s">
        <v>15</v>
      </c>
      <c r="B8" s="272" t="s">
        <v>5</v>
      </c>
      <c r="C8" s="273">
        <v>334</v>
      </c>
      <c r="D8" s="348">
        <v>12.6</v>
      </c>
      <c r="E8" s="348">
        <v>5</v>
      </c>
      <c r="F8" s="349">
        <v>3.4</v>
      </c>
      <c r="G8" s="349">
        <v>3.6214284285714284</v>
      </c>
      <c r="H8" s="349">
        <v>3.62</v>
      </c>
      <c r="I8" s="349">
        <v>3.7</v>
      </c>
      <c r="J8" s="519">
        <v>156.09615384615384</v>
      </c>
      <c r="K8" s="519">
        <v>156.875</v>
      </c>
      <c r="L8" s="519">
        <v>155.47058823529412</v>
      </c>
      <c r="M8" s="519">
        <v>150.40384615384616</v>
      </c>
      <c r="N8" s="519">
        <v>152.29166666666666</v>
      </c>
      <c r="O8" s="519">
        <v>153.8235294117647</v>
      </c>
      <c r="P8" s="360">
        <v>1.5900000000000001E-2</v>
      </c>
      <c r="Q8" s="360">
        <v>0</v>
      </c>
      <c r="R8" s="360">
        <v>0</v>
      </c>
      <c r="S8" s="332">
        <v>0.35580000000000001</v>
      </c>
      <c r="T8" s="332">
        <v>0.64419999999999999</v>
      </c>
      <c r="U8" s="513">
        <v>1</v>
      </c>
      <c r="V8" s="410">
        <v>0</v>
      </c>
      <c r="W8" s="410">
        <v>0</v>
      </c>
      <c r="X8" s="334">
        <v>20</v>
      </c>
      <c r="Y8" s="510">
        <v>0.86956521739130432</v>
      </c>
      <c r="Z8" s="341">
        <v>4</v>
      </c>
      <c r="AA8" s="341">
        <v>6</v>
      </c>
      <c r="AB8" s="341">
        <v>9</v>
      </c>
      <c r="AC8" s="341">
        <v>19</v>
      </c>
      <c r="AD8" s="72">
        <v>19</v>
      </c>
    </row>
    <row r="9" spans="1:842" x14ac:dyDescent="0.25">
      <c r="A9" s="271" t="s">
        <v>69</v>
      </c>
      <c r="B9" s="272" t="s">
        <v>5</v>
      </c>
      <c r="C9" s="273">
        <v>474</v>
      </c>
      <c r="D9" s="348">
        <v>4</v>
      </c>
      <c r="E9" s="348">
        <v>2</v>
      </c>
      <c r="F9" s="349">
        <v>1.8</v>
      </c>
      <c r="G9" s="349">
        <v>3.1</v>
      </c>
      <c r="H9" s="349">
        <v>3.1</v>
      </c>
      <c r="I9" s="349">
        <v>3.1</v>
      </c>
      <c r="J9" s="519">
        <v>154.9</v>
      </c>
      <c r="K9" s="519">
        <v>153.4</v>
      </c>
      <c r="L9" s="519">
        <v>152.22222222222223</v>
      </c>
      <c r="M9" s="519">
        <v>149.69999999999999</v>
      </c>
      <c r="N9" s="519">
        <v>150.9</v>
      </c>
      <c r="O9" s="519">
        <v>150.33333333333334</v>
      </c>
      <c r="P9" s="360">
        <v>0.05</v>
      </c>
      <c r="Q9" s="360">
        <v>0.1</v>
      </c>
      <c r="R9" s="360">
        <v>0.1111</v>
      </c>
      <c r="S9" s="332">
        <v>0.59319999999999995</v>
      </c>
      <c r="T9" s="332">
        <v>0.59319999999999995</v>
      </c>
      <c r="U9" s="513">
        <v>2</v>
      </c>
      <c r="V9" s="410">
        <v>0</v>
      </c>
      <c r="W9" s="410">
        <v>0</v>
      </c>
      <c r="X9" s="334">
        <v>7</v>
      </c>
      <c r="Y9" s="512">
        <v>0.58333333333333337</v>
      </c>
      <c r="Z9" s="341">
        <v>2</v>
      </c>
      <c r="AA9" s="341">
        <v>1</v>
      </c>
      <c r="AB9" s="341">
        <v>9</v>
      </c>
      <c r="AC9" s="341">
        <v>12</v>
      </c>
      <c r="AD9" s="72">
        <v>17</v>
      </c>
    </row>
    <row r="10" spans="1:842" x14ac:dyDescent="0.25">
      <c r="A10" s="271" t="s">
        <v>4</v>
      </c>
      <c r="B10" s="272" t="s">
        <v>5</v>
      </c>
      <c r="C10" s="273">
        <v>335</v>
      </c>
      <c r="D10" s="348">
        <v>14</v>
      </c>
      <c r="E10" s="348">
        <v>3.4</v>
      </c>
      <c r="F10" s="349">
        <v>2.4</v>
      </c>
      <c r="G10" s="349">
        <v>3.375</v>
      </c>
      <c r="H10" s="349">
        <v>3.5333333333333332</v>
      </c>
      <c r="I10" s="349">
        <v>3.5</v>
      </c>
      <c r="J10" s="519">
        <v>156.85483870967741</v>
      </c>
      <c r="K10" s="519">
        <v>153.29411764705881</v>
      </c>
      <c r="L10" s="519">
        <v>153.76923076923077</v>
      </c>
      <c r="M10" s="519">
        <v>150.53225806451613</v>
      </c>
      <c r="N10" s="519">
        <v>150.47058823529412</v>
      </c>
      <c r="O10" s="519">
        <v>151.61538461538461</v>
      </c>
      <c r="P10" s="360">
        <v>8.5699999999999998E-2</v>
      </c>
      <c r="Q10" s="360">
        <v>5.8799999999999998E-2</v>
      </c>
      <c r="R10" s="360">
        <v>0</v>
      </c>
      <c r="S10" s="332">
        <v>0.55000000000000004</v>
      </c>
      <c r="T10" s="332">
        <v>0.625</v>
      </c>
      <c r="U10" s="513">
        <v>0</v>
      </c>
      <c r="V10" s="410">
        <v>0</v>
      </c>
      <c r="W10" s="410">
        <v>1</v>
      </c>
      <c r="X10" s="334">
        <v>16</v>
      </c>
      <c r="Y10" s="510">
        <v>0.8</v>
      </c>
      <c r="Z10" s="341">
        <v>4</v>
      </c>
      <c r="AA10" s="341">
        <v>5</v>
      </c>
      <c r="AB10" s="341">
        <v>4</v>
      </c>
      <c r="AC10" s="341">
        <v>13</v>
      </c>
      <c r="AD10" s="72">
        <v>15</v>
      </c>
    </row>
    <row r="11" spans="1:842" x14ac:dyDescent="0.25">
      <c r="A11" s="271" t="s">
        <v>16</v>
      </c>
      <c r="B11" s="272" t="s">
        <v>5</v>
      </c>
      <c r="C11" s="273">
        <v>62</v>
      </c>
      <c r="D11" s="348">
        <v>22.6</v>
      </c>
      <c r="E11" s="348">
        <v>11.6</v>
      </c>
      <c r="F11" s="349">
        <v>10.199999999999999</v>
      </c>
      <c r="G11" s="349">
        <v>3.3249998461538461</v>
      </c>
      <c r="H11" s="349">
        <v>3.38437478125</v>
      </c>
      <c r="I11" s="349">
        <v>3.3464283928571428</v>
      </c>
      <c r="J11" s="519">
        <v>151.95833333333334</v>
      </c>
      <c r="K11" s="519">
        <v>153.21428571428572</v>
      </c>
      <c r="L11" s="519">
        <v>152.96153846153845</v>
      </c>
      <c r="M11" s="519">
        <v>150.86458333333334</v>
      </c>
      <c r="N11" s="519">
        <v>152.28571428571428</v>
      </c>
      <c r="O11" s="519">
        <v>152.03846153846155</v>
      </c>
      <c r="P11" s="360">
        <v>6.1899999999999997E-2</v>
      </c>
      <c r="Q11" s="360">
        <v>6.9000000000000006E-2</v>
      </c>
      <c r="R11" s="360">
        <v>5.8799999999999998E-2</v>
      </c>
      <c r="S11" s="332">
        <v>0.46300000000000002</v>
      </c>
      <c r="T11" s="335">
        <v>0.37040000000000001</v>
      </c>
      <c r="U11" s="513">
        <v>5</v>
      </c>
      <c r="V11" s="410">
        <v>1</v>
      </c>
      <c r="W11" s="410">
        <v>0</v>
      </c>
      <c r="X11" s="334">
        <v>52</v>
      </c>
      <c r="Y11" s="510">
        <v>0.71232876712328763</v>
      </c>
      <c r="Z11" s="341">
        <v>13</v>
      </c>
      <c r="AA11" s="341">
        <v>24</v>
      </c>
      <c r="AB11" s="341">
        <v>21</v>
      </c>
      <c r="AC11" s="341">
        <v>58</v>
      </c>
      <c r="AD11" s="72">
        <v>63</v>
      </c>
    </row>
    <row r="12" spans="1:842" s="112" customFormat="1" x14ac:dyDescent="0.25">
      <c r="A12" s="274" t="s">
        <v>173</v>
      </c>
      <c r="B12" s="275" t="s">
        <v>5</v>
      </c>
      <c r="C12" s="273">
        <v>66</v>
      </c>
      <c r="D12" s="348">
        <v>10.8</v>
      </c>
      <c r="E12" s="348">
        <v>2.4</v>
      </c>
      <c r="F12" s="349">
        <v>2.4</v>
      </c>
      <c r="G12" s="349">
        <v>3.503571428571429</v>
      </c>
      <c r="H12" s="349">
        <v>3.5333333333333332</v>
      </c>
      <c r="I12" s="349">
        <v>3.5333333333333332</v>
      </c>
      <c r="J12" s="519">
        <v>153.42857142857142</v>
      </c>
      <c r="K12" s="519">
        <v>149.5</v>
      </c>
      <c r="L12" s="519">
        <v>149.6</v>
      </c>
      <c r="M12" s="519">
        <v>151</v>
      </c>
      <c r="N12" s="519">
        <v>152.1</v>
      </c>
      <c r="O12" s="519">
        <v>150</v>
      </c>
      <c r="P12" s="360">
        <v>1.8499999999999999E-2</v>
      </c>
      <c r="Q12" s="360">
        <v>0</v>
      </c>
      <c r="R12" s="360">
        <v>0</v>
      </c>
      <c r="S12" s="332">
        <v>0.44</v>
      </c>
      <c r="T12" s="361">
        <v>0.12</v>
      </c>
      <c r="U12" s="513">
        <v>1</v>
      </c>
      <c r="V12" s="408">
        <v>0</v>
      </c>
      <c r="W12" s="408">
        <v>0</v>
      </c>
      <c r="X12" s="334">
        <v>16</v>
      </c>
      <c r="Y12" s="510">
        <v>0.5161290322580645</v>
      </c>
      <c r="Z12" s="341">
        <v>0</v>
      </c>
      <c r="AA12" s="341">
        <v>7</v>
      </c>
      <c r="AB12" s="341">
        <v>6</v>
      </c>
      <c r="AC12" s="341">
        <v>13</v>
      </c>
      <c r="AD12" s="72">
        <v>15</v>
      </c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</row>
    <row r="13" spans="1:842" s="112" customFormat="1" x14ac:dyDescent="0.25">
      <c r="A13" s="276" t="s">
        <v>174</v>
      </c>
      <c r="B13" s="275" t="s">
        <v>5</v>
      </c>
      <c r="C13" s="273">
        <v>70</v>
      </c>
      <c r="D13" s="348">
        <v>16.600000000000001</v>
      </c>
      <c r="E13" s="348">
        <v>6.2</v>
      </c>
      <c r="F13" s="349">
        <v>5.4</v>
      </c>
      <c r="G13" s="349">
        <v>3.4758620344827582</v>
      </c>
      <c r="H13" s="349">
        <v>3.506249875</v>
      </c>
      <c r="I13" s="349">
        <v>3.4666666666666668</v>
      </c>
      <c r="J13" s="520">
        <v>155.31884057971016</v>
      </c>
      <c r="K13" s="520">
        <v>154.4</v>
      </c>
      <c r="L13" s="521">
        <v>154.51612903225808</v>
      </c>
      <c r="M13" s="519">
        <v>152.21739130434781</v>
      </c>
      <c r="N13" s="519">
        <v>152.6</v>
      </c>
      <c r="O13" s="519">
        <v>152.19354838709677</v>
      </c>
      <c r="P13" s="360">
        <v>7.2300000000000003E-2</v>
      </c>
      <c r="Q13" s="360">
        <v>0.129</v>
      </c>
      <c r="R13" s="360">
        <v>0.1111</v>
      </c>
      <c r="S13" s="332">
        <v>0.29759999999999998</v>
      </c>
      <c r="T13" s="332">
        <v>0.39879999999999999</v>
      </c>
      <c r="U13" s="513">
        <v>2</v>
      </c>
      <c r="V13" s="408">
        <v>0.6</v>
      </c>
      <c r="W13" s="408">
        <v>0.4</v>
      </c>
      <c r="X13" s="334">
        <v>25</v>
      </c>
      <c r="Y13" s="510">
        <v>0.83333333333333337</v>
      </c>
      <c r="Z13" s="341">
        <v>5</v>
      </c>
      <c r="AA13" s="341">
        <v>13</v>
      </c>
      <c r="AB13" s="341">
        <v>15</v>
      </c>
      <c r="AC13" s="341">
        <v>33</v>
      </c>
      <c r="AD13" s="72">
        <v>40</v>
      </c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</row>
    <row r="14" spans="1:842" s="112" customFormat="1" x14ac:dyDescent="0.25">
      <c r="A14" s="271" t="s">
        <v>12</v>
      </c>
      <c r="B14" s="272" t="s">
        <v>5</v>
      </c>
      <c r="C14" s="273">
        <v>67</v>
      </c>
      <c r="D14" s="348">
        <v>29.6</v>
      </c>
      <c r="E14" s="348">
        <v>15.2</v>
      </c>
      <c r="F14" s="349">
        <v>6</v>
      </c>
      <c r="G14" s="349">
        <v>3.4952378571428575</v>
      </c>
      <c r="H14" s="349">
        <v>3.4687496874999999</v>
      </c>
      <c r="I14" s="349">
        <v>3.25</v>
      </c>
      <c r="J14" s="519">
        <v>157.13492063492063</v>
      </c>
      <c r="K14" s="519">
        <v>157.35616438356163</v>
      </c>
      <c r="L14" s="519">
        <v>156.93333333333334</v>
      </c>
      <c r="M14" s="519">
        <v>150.76984126984127</v>
      </c>
      <c r="N14" s="519">
        <v>152.39726027397259</v>
      </c>
      <c r="O14" s="519">
        <v>149.93333333333334</v>
      </c>
      <c r="P14" s="360">
        <v>5.4100000000000002E-2</v>
      </c>
      <c r="Q14" s="360">
        <v>9.2100000000000001E-2</v>
      </c>
      <c r="R14" s="360">
        <v>0.16669999999999999</v>
      </c>
      <c r="S14" s="332">
        <v>0.48299999999999998</v>
      </c>
      <c r="T14" s="332">
        <v>0.53979999999999995</v>
      </c>
      <c r="U14" s="513">
        <v>4</v>
      </c>
      <c r="V14" s="410">
        <v>0</v>
      </c>
      <c r="W14" s="410">
        <v>1</v>
      </c>
      <c r="X14" s="334">
        <v>23</v>
      </c>
      <c r="Y14" s="510">
        <v>0.74193548387096775</v>
      </c>
      <c r="Z14" s="341">
        <v>11</v>
      </c>
      <c r="AA14" s="341">
        <v>14</v>
      </c>
      <c r="AB14" s="341">
        <v>5</v>
      </c>
      <c r="AC14" s="341">
        <v>30</v>
      </c>
      <c r="AD14" s="72">
        <v>30</v>
      </c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</row>
    <row r="15" spans="1:842" s="112" customFormat="1" x14ac:dyDescent="0.25">
      <c r="A15" s="271" t="s">
        <v>14</v>
      </c>
      <c r="B15" s="272" t="s">
        <v>5</v>
      </c>
      <c r="C15" s="273">
        <v>68</v>
      </c>
      <c r="D15" s="348">
        <v>82.4</v>
      </c>
      <c r="E15" s="348">
        <v>12.2</v>
      </c>
      <c r="F15" s="349">
        <v>9.1999999999999993</v>
      </c>
      <c r="G15" s="349">
        <v>3.4964285714285714</v>
      </c>
      <c r="H15" s="349">
        <v>3.6523809523809527</v>
      </c>
      <c r="I15" s="349">
        <v>3.6611111111111114</v>
      </c>
      <c r="J15" s="519">
        <v>159.05026455026456</v>
      </c>
      <c r="K15" s="519">
        <v>157.25423728813558</v>
      </c>
      <c r="L15" s="519">
        <v>155.74509803921569</v>
      </c>
      <c r="M15" s="519">
        <v>150.63227513227514</v>
      </c>
      <c r="N15" s="519">
        <v>150.5084745762712</v>
      </c>
      <c r="O15" s="519">
        <v>150.37254901960785</v>
      </c>
      <c r="P15" s="360">
        <v>3.6400000000000002E-2</v>
      </c>
      <c r="Q15" s="360">
        <v>3.2800000000000003E-2</v>
      </c>
      <c r="R15" s="360">
        <v>2.1700000000000001E-2</v>
      </c>
      <c r="S15" s="332">
        <v>0.625</v>
      </c>
      <c r="T15" s="332">
        <v>0.72060000000000002</v>
      </c>
      <c r="U15" s="513">
        <v>2</v>
      </c>
      <c r="V15" s="410">
        <v>0</v>
      </c>
      <c r="W15" s="410">
        <v>1</v>
      </c>
      <c r="X15" s="334">
        <v>16</v>
      </c>
      <c r="Y15" s="510">
        <v>0.8</v>
      </c>
      <c r="Z15" s="341">
        <v>5</v>
      </c>
      <c r="AA15" s="341">
        <v>9</v>
      </c>
      <c r="AB15" s="341">
        <v>1</v>
      </c>
      <c r="AC15" s="341">
        <v>15</v>
      </c>
      <c r="AD15" s="72">
        <v>23</v>
      </c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</row>
    <row r="16" spans="1:842" s="112" customFormat="1" x14ac:dyDescent="0.25">
      <c r="A16" s="271" t="s">
        <v>10</v>
      </c>
      <c r="B16" s="272" t="s">
        <v>5</v>
      </c>
      <c r="C16" s="273" t="s">
        <v>162</v>
      </c>
      <c r="D16" s="348">
        <v>33</v>
      </c>
      <c r="E16" s="348">
        <v>12</v>
      </c>
      <c r="F16" s="349">
        <v>9.8000000000000007</v>
      </c>
      <c r="G16" s="349">
        <v>3.4586206206896546</v>
      </c>
      <c r="H16" s="349">
        <v>3.5647058235294118</v>
      </c>
      <c r="I16" s="349">
        <v>3.5933333333333333</v>
      </c>
      <c r="J16" s="519">
        <v>156.95862068965516</v>
      </c>
      <c r="K16" s="519">
        <v>155.51724137931035</v>
      </c>
      <c r="L16" s="519">
        <v>154.32653061224491</v>
      </c>
      <c r="M16" s="519">
        <v>150.71724137931034</v>
      </c>
      <c r="N16" s="519">
        <v>151.63793103448276</v>
      </c>
      <c r="O16" s="519">
        <v>151.28571428571428</v>
      </c>
      <c r="P16" s="360">
        <v>4.8500000000000001E-2</v>
      </c>
      <c r="Q16" s="360">
        <v>0.05</v>
      </c>
      <c r="R16" s="360">
        <v>4.0800000000000003E-2</v>
      </c>
      <c r="S16" s="332">
        <v>0.37930000000000003</v>
      </c>
      <c r="T16" s="332">
        <v>0.62450000000000006</v>
      </c>
      <c r="U16" s="513">
        <v>4</v>
      </c>
      <c r="V16" s="410">
        <v>1</v>
      </c>
      <c r="W16" s="410">
        <v>0</v>
      </c>
      <c r="X16" s="334">
        <v>52</v>
      </c>
      <c r="Y16" s="510">
        <v>0.85245901639344257</v>
      </c>
      <c r="Z16" s="341">
        <v>10</v>
      </c>
      <c r="AA16" s="341">
        <v>11</v>
      </c>
      <c r="AB16" s="341">
        <v>7</v>
      </c>
      <c r="AC16" s="341">
        <v>28</v>
      </c>
      <c r="AD16" s="72">
        <v>39</v>
      </c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</row>
    <row r="17" spans="1:842" s="112" customFormat="1" x14ac:dyDescent="0.25">
      <c r="A17" s="271" t="s">
        <v>9</v>
      </c>
      <c r="B17" s="272" t="s">
        <v>5</v>
      </c>
      <c r="C17" s="273">
        <v>99</v>
      </c>
      <c r="D17" s="348">
        <v>55</v>
      </c>
      <c r="E17" s="348">
        <v>12.6</v>
      </c>
      <c r="F17" s="349">
        <v>9</v>
      </c>
      <c r="G17" s="349">
        <v>3.3291662708333334</v>
      </c>
      <c r="H17" s="349">
        <v>3.5138884444444445</v>
      </c>
      <c r="I17" s="349">
        <v>3.4439996800000001</v>
      </c>
      <c r="J17" s="519">
        <v>157.14285714285714</v>
      </c>
      <c r="K17" s="519">
        <v>154.9047619047619</v>
      </c>
      <c r="L17" s="519">
        <v>153.06382978723406</v>
      </c>
      <c r="M17" s="519">
        <v>153.50840336134453</v>
      </c>
      <c r="N17" s="519">
        <v>154.12698412698413</v>
      </c>
      <c r="O17" s="519">
        <v>153.42553191489361</v>
      </c>
      <c r="P17" s="360">
        <v>0.08</v>
      </c>
      <c r="Q17" s="360">
        <v>0.1111</v>
      </c>
      <c r="R17" s="360">
        <v>0.1333</v>
      </c>
      <c r="S17" s="332">
        <v>0.52110000000000001</v>
      </c>
      <c r="T17" s="332">
        <v>0.4</v>
      </c>
      <c r="U17" s="513">
        <v>6</v>
      </c>
      <c r="V17" s="410">
        <v>0.5</v>
      </c>
      <c r="W17" s="410">
        <v>0.5</v>
      </c>
      <c r="X17" s="334">
        <v>42</v>
      </c>
      <c r="Y17" s="510">
        <v>0.95454545454545459</v>
      </c>
      <c r="Z17" s="341">
        <v>2</v>
      </c>
      <c r="AA17" s="341">
        <v>7</v>
      </c>
      <c r="AB17" s="341">
        <v>16</v>
      </c>
      <c r="AC17" s="341">
        <v>25</v>
      </c>
      <c r="AD17" s="72">
        <v>26</v>
      </c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</row>
    <row r="18" spans="1:842" s="112" customFormat="1" x14ac:dyDescent="0.25">
      <c r="A18" s="271" t="s">
        <v>11</v>
      </c>
      <c r="B18" s="272" t="s">
        <v>5</v>
      </c>
      <c r="C18" s="273">
        <v>113</v>
      </c>
      <c r="D18" s="348">
        <v>26.8</v>
      </c>
      <c r="E18" s="348">
        <v>5.6</v>
      </c>
      <c r="F18" s="349">
        <v>5.2</v>
      </c>
      <c r="G18" s="349">
        <v>3.4333332222222221</v>
      </c>
      <c r="H18" s="349">
        <v>3.5142855714285717</v>
      </c>
      <c r="I18" s="349">
        <v>3.4833333333333329</v>
      </c>
      <c r="J18" s="519">
        <v>156.29357798165137</v>
      </c>
      <c r="K18" s="519">
        <v>154.65384615384616</v>
      </c>
      <c r="L18" s="519">
        <v>154.61538461538461</v>
      </c>
      <c r="M18" s="519">
        <v>148.6880733944954</v>
      </c>
      <c r="N18" s="519">
        <v>149.61538461538461</v>
      </c>
      <c r="O18" s="519">
        <v>149.61538461538461</v>
      </c>
      <c r="P18" s="360">
        <v>2.9899999999999999E-2</v>
      </c>
      <c r="Q18" s="360">
        <v>3.5700000000000003E-2</v>
      </c>
      <c r="R18" s="360">
        <v>3.85E-2</v>
      </c>
      <c r="S18" s="332">
        <v>0.39710000000000001</v>
      </c>
      <c r="T18" s="332">
        <v>0.59560000000000002</v>
      </c>
      <c r="U18" s="513">
        <v>3</v>
      </c>
      <c r="V18" s="410">
        <v>0</v>
      </c>
      <c r="W18" s="410">
        <v>0</v>
      </c>
      <c r="X18" s="334">
        <v>20</v>
      </c>
      <c r="Y18" s="510">
        <v>0.68965517241379315</v>
      </c>
      <c r="Z18" s="341">
        <v>2</v>
      </c>
      <c r="AA18" s="341">
        <v>5</v>
      </c>
      <c r="AB18" s="341">
        <v>12</v>
      </c>
      <c r="AC18" s="341">
        <v>19</v>
      </c>
      <c r="AD18" s="72">
        <v>20</v>
      </c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</row>
    <row r="19" spans="1:842" s="112" customFormat="1" x14ac:dyDescent="0.25">
      <c r="A19" s="271" t="s">
        <v>8</v>
      </c>
      <c r="B19" s="272" t="s">
        <v>5</v>
      </c>
      <c r="C19" s="273">
        <v>129</v>
      </c>
      <c r="D19" s="348">
        <v>35</v>
      </c>
      <c r="E19" s="348">
        <v>13.2</v>
      </c>
      <c r="F19" s="349">
        <v>10.8</v>
      </c>
      <c r="G19" s="349">
        <v>3.333333066666667</v>
      </c>
      <c r="H19" s="349">
        <v>3.3294117647058825</v>
      </c>
      <c r="I19" s="349">
        <v>3.3800000000000003</v>
      </c>
      <c r="J19" s="519">
        <v>156.41358024691357</v>
      </c>
      <c r="K19" s="519">
        <v>155.29032258064515</v>
      </c>
      <c r="L19" s="519">
        <v>154.90384615384616</v>
      </c>
      <c r="M19" s="519">
        <v>150.30864197530863</v>
      </c>
      <c r="N19" s="519">
        <v>151.53225806451613</v>
      </c>
      <c r="O19" s="519">
        <v>152.34615384615384</v>
      </c>
      <c r="P19" s="360">
        <v>0.04</v>
      </c>
      <c r="Q19" s="360">
        <v>3.0300000000000001E-2</v>
      </c>
      <c r="R19" s="360">
        <v>3.6999999999999998E-2</v>
      </c>
      <c r="S19" s="332">
        <v>0.50549999999999995</v>
      </c>
      <c r="T19" s="332">
        <v>0.6421</v>
      </c>
      <c r="U19" s="513">
        <v>3</v>
      </c>
      <c r="V19" s="410">
        <v>0</v>
      </c>
      <c r="W19" s="410">
        <v>0</v>
      </c>
      <c r="X19" s="334">
        <v>41</v>
      </c>
      <c r="Y19" s="510">
        <v>0.78846153846153844</v>
      </c>
      <c r="Z19" s="341">
        <v>4</v>
      </c>
      <c r="AA19" s="341">
        <v>4</v>
      </c>
      <c r="AB19" s="341">
        <v>24</v>
      </c>
      <c r="AC19" s="341">
        <v>32</v>
      </c>
      <c r="AD19" s="72">
        <v>45</v>
      </c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</row>
    <row r="20" spans="1:842" s="112" customFormat="1" x14ac:dyDescent="0.25">
      <c r="A20" s="271" t="s">
        <v>13</v>
      </c>
      <c r="B20" s="272" t="s">
        <v>5</v>
      </c>
      <c r="C20" s="273">
        <v>138</v>
      </c>
      <c r="D20" s="348">
        <v>20.6</v>
      </c>
      <c r="E20" s="348">
        <v>5</v>
      </c>
      <c r="F20" s="349">
        <v>4.4000000000000004</v>
      </c>
      <c r="G20" s="349">
        <v>3.5310341206896552</v>
      </c>
      <c r="H20" s="349">
        <v>3.5923076923076924</v>
      </c>
      <c r="I20" s="349">
        <v>3.5363634545454543</v>
      </c>
      <c r="J20" s="519">
        <v>152.54651162790697</v>
      </c>
      <c r="K20" s="519">
        <v>151.20833333333334</v>
      </c>
      <c r="L20" s="519">
        <v>150.2608695652174</v>
      </c>
      <c r="M20" s="519">
        <v>155.09302325581396</v>
      </c>
      <c r="N20" s="519">
        <v>154</v>
      </c>
      <c r="O20" s="519">
        <v>154.04347826086956</v>
      </c>
      <c r="P20" s="360">
        <v>0.12620000000000001</v>
      </c>
      <c r="Q20" s="360">
        <v>0.2</v>
      </c>
      <c r="R20" s="360">
        <v>0.18179999999999999</v>
      </c>
      <c r="S20" s="332">
        <v>0.49299999999999999</v>
      </c>
      <c r="T20" s="332">
        <v>0.38030000000000003</v>
      </c>
      <c r="U20" s="513">
        <v>5</v>
      </c>
      <c r="V20" s="410">
        <v>0</v>
      </c>
      <c r="W20" s="410">
        <v>0</v>
      </c>
      <c r="X20" s="334">
        <v>25</v>
      </c>
      <c r="Y20" s="510">
        <v>0.80645161290322576</v>
      </c>
      <c r="Z20" s="341">
        <v>8</v>
      </c>
      <c r="AA20" s="341">
        <v>8</v>
      </c>
      <c r="AB20" s="341">
        <v>3</v>
      </c>
      <c r="AC20" s="341">
        <v>19</v>
      </c>
      <c r="AD20" s="72">
        <v>21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</row>
    <row r="21" spans="1:842" s="112" customFormat="1" x14ac:dyDescent="0.25">
      <c r="A21" s="271" t="s">
        <v>17</v>
      </c>
      <c r="B21" s="272" t="s">
        <v>18</v>
      </c>
      <c r="C21" s="273">
        <v>348</v>
      </c>
      <c r="D21" s="348">
        <v>355.2</v>
      </c>
      <c r="E21" s="348">
        <v>12.4</v>
      </c>
      <c r="F21" s="349">
        <v>10.6</v>
      </c>
      <c r="G21" s="349">
        <v>3.5515552377777784</v>
      </c>
      <c r="H21" s="349">
        <v>3.6535713571428574</v>
      </c>
      <c r="I21" s="349">
        <v>3.6500000000000004</v>
      </c>
      <c r="J21" s="522">
        <v>161.42941176470589</v>
      </c>
      <c r="K21" s="522">
        <v>164.96</v>
      </c>
      <c r="L21" s="522">
        <v>164.5</v>
      </c>
      <c r="M21" s="522">
        <v>156.6</v>
      </c>
      <c r="N21" s="522">
        <v>162.19999999999999</v>
      </c>
      <c r="O21" s="522">
        <v>162.09090909090909</v>
      </c>
      <c r="P21" s="360">
        <v>4.3400000000000001E-2</v>
      </c>
      <c r="Q21" s="360">
        <v>3.2300000000000002E-2</v>
      </c>
      <c r="R21" s="360">
        <v>3.7699999999999997E-2</v>
      </c>
      <c r="S21" s="332">
        <v>0.36149999999999999</v>
      </c>
      <c r="T21" s="332">
        <v>0.51690000000000003</v>
      </c>
      <c r="U21" s="513">
        <v>3</v>
      </c>
      <c r="V21" s="410">
        <v>0.5</v>
      </c>
      <c r="W21" s="410">
        <v>0.5</v>
      </c>
      <c r="X21" s="334">
        <v>56</v>
      </c>
      <c r="Y21" s="510">
        <v>0.94915254237288138</v>
      </c>
      <c r="Z21" s="341">
        <v>53</v>
      </c>
      <c r="AA21" s="341">
        <v>2</v>
      </c>
      <c r="AB21" s="341">
        <v>0</v>
      </c>
      <c r="AC21" s="341">
        <v>55</v>
      </c>
      <c r="AD21" s="72">
        <v>56</v>
      </c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</row>
    <row r="22" spans="1:842" s="112" customFormat="1" x14ac:dyDescent="0.25">
      <c r="A22" s="271" t="s">
        <v>29</v>
      </c>
      <c r="B22" s="272" t="s">
        <v>21</v>
      </c>
      <c r="C22" s="273">
        <v>336</v>
      </c>
      <c r="D22" s="348">
        <v>99.4</v>
      </c>
      <c r="E22" s="348">
        <v>26.4</v>
      </c>
      <c r="F22" s="349">
        <v>14.4</v>
      </c>
      <c r="G22" s="349">
        <v>3.5584805189873419</v>
      </c>
      <c r="H22" s="349">
        <v>3.5905258421052633</v>
      </c>
      <c r="I22" s="349">
        <v>3.5799998500000001</v>
      </c>
      <c r="J22" s="519">
        <v>149.82366071428572</v>
      </c>
      <c r="K22" s="519">
        <v>150.416</v>
      </c>
      <c r="L22" s="519">
        <v>148.41428571428571</v>
      </c>
      <c r="M22" s="519">
        <v>156.22321428571428</v>
      </c>
      <c r="N22" s="519">
        <v>156.10400000000001</v>
      </c>
      <c r="O22" s="519">
        <v>156.55714285714285</v>
      </c>
      <c r="P22" s="360">
        <v>0.16500000000000001</v>
      </c>
      <c r="Q22" s="360">
        <v>0.13639999999999999</v>
      </c>
      <c r="R22" s="360">
        <v>0.1389</v>
      </c>
      <c r="S22" s="332">
        <v>0.59230000000000005</v>
      </c>
      <c r="T22" s="332">
        <v>0.1138</v>
      </c>
      <c r="U22" s="514">
        <v>25</v>
      </c>
      <c r="V22" s="411">
        <v>0.125</v>
      </c>
      <c r="W22" s="411">
        <v>0.5</v>
      </c>
      <c r="X22" s="336">
        <v>91</v>
      </c>
      <c r="Y22" s="510">
        <v>0.64539007092198586</v>
      </c>
      <c r="Z22" s="341">
        <v>36</v>
      </c>
      <c r="AA22" s="341">
        <v>27</v>
      </c>
      <c r="AB22" s="341">
        <v>11</v>
      </c>
      <c r="AC22" s="341">
        <v>74</v>
      </c>
      <c r="AD22" s="72">
        <v>85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</row>
    <row r="23" spans="1:842" s="112" customFormat="1" x14ac:dyDescent="0.25">
      <c r="A23" s="271" t="s">
        <v>24</v>
      </c>
      <c r="B23" s="272" t="s">
        <v>21</v>
      </c>
      <c r="C23" s="273">
        <v>342</v>
      </c>
      <c r="D23" s="348">
        <v>67.599999999999994</v>
      </c>
      <c r="E23" s="348">
        <v>15.2</v>
      </c>
      <c r="F23" s="349">
        <v>6.4</v>
      </c>
      <c r="G23" s="349">
        <v>3.4264421009615385</v>
      </c>
      <c r="H23" s="349">
        <v>3.6177774444444442</v>
      </c>
      <c r="I23" s="349">
        <v>3.5647056470588234</v>
      </c>
      <c r="J23" s="519">
        <v>159.48648648648648</v>
      </c>
      <c r="K23" s="519">
        <v>161.80281690140845</v>
      </c>
      <c r="L23" s="519">
        <v>161.17241379310346</v>
      </c>
      <c r="M23" s="519">
        <v>153.96969696969697</v>
      </c>
      <c r="N23" s="519">
        <v>156.70422535211267</v>
      </c>
      <c r="O23" s="519">
        <v>155.68965517241378</v>
      </c>
      <c r="P23" s="360">
        <v>4.1399999999999999E-2</v>
      </c>
      <c r="Q23" s="360">
        <v>2.63E-2</v>
      </c>
      <c r="R23" s="360">
        <v>3.1300000000000001E-2</v>
      </c>
      <c r="S23" s="333">
        <v>0.32890000000000003</v>
      </c>
      <c r="T23" s="332">
        <v>0.43419999999999997</v>
      </c>
      <c r="U23" s="514">
        <v>1</v>
      </c>
      <c r="V23" s="411">
        <v>0</v>
      </c>
      <c r="W23" s="411">
        <v>1</v>
      </c>
      <c r="X23" s="336">
        <v>26</v>
      </c>
      <c r="Y23" s="510">
        <v>0.8666666666666667</v>
      </c>
      <c r="Z23" s="341">
        <v>2</v>
      </c>
      <c r="AA23" s="341">
        <v>1</v>
      </c>
      <c r="AB23" s="341">
        <v>18</v>
      </c>
      <c r="AC23" s="341">
        <v>21</v>
      </c>
      <c r="AD23" s="72">
        <v>26</v>
      </c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</row>
    <row r="24" spans="1:842" s="112" customFormat="1" x14ac:dyDescent="0.25">
      <c r="A24" s="274" t="s">
        <v>175</v>
      </c>
      <c r="B24" s="272" t="s">
        <v>21</v>
      </c>
      <c r="C24" s="273">
        <v>346</v>
      </c>
      <c r="D24" s="348">
        <v>23.8</v>
      </c>
      <c r="E24" s="348">
        <v>7.6</v>
      </c>
      <c r="F24" s="349">
        <v>4.5999999999999996</v>
      </c>
      <c r="G24" s="349">
        <v>3.5648146111111112</v>
      </c>
      <c r="H24" s="349">
        <v>3.5821427142857147</v>
      </c>
      <c r="I24" s="349">
        <v>3.482352882352941</v>
      </c>
      <c r="J24" s="519">
        <v>155.65714285714284</v>
      </c>
      <c r="K24" s="519">
        <v>155.05405405405406</v>
      </c>
      <c r="L24" s="519">
        <v>154.28</v>
      </c>
      <c r="M24" s="519">
        <v>154.54285714285714</v>
      </c>
      <c r="N24" s="519">
        <v>155.81081081081081</v>
      </c>
      <c r="O24" s="519">
        <v>152.96</v>
      </c>
      <c r="P24" s="360">
        <v>5.04E-2</v>
      </c>
      <c r="Q24" s="360">
        <v>5.2600000000000001E-2</v>
      </c>
      <c r="R24" s="360">
        <v>4.3499999999999997E-2</v>
      </c>
      <c r="S24" s="333">
        <v>0.50900000000000001</v>
      </c>
      <c r="T24" s="332">
        <v>0.34129999999999999</v>
      </c>
      <c r="U24" s="514">
        <v>0</v>
      </c>
      <c r="V24" s="409">
        <v>0</v>
      </c>
      <c r="W24" s="409">
        <v>1</v>
      </c>
      <c r="X24" s="336">
        <v>29</v>
      </c>
      <c r="Y24" s="510">
        <v>0.96666666666666667</v>
      </c>
      <c r="Z24" s="341">
        <v>2</v>
      </c>
      <c r="AA24" s="341">
        <v>1</v>
      </c>
      <c r="AB24" s="341">
        <v>14</v>
      </c>
      <c r="AC24" s="341">
        <v>17</v>
      </c>
      <c r="AD24" s="72">
        <v>26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</row>
    <row r="25" spans="1:842" s="112" customFormat="1" x14ac:dyDescent="0.25">
      <c r="A25" s="274" t="s">
        <v>176</v>
      </c>
      <c r="B25" s="272" t="s">
        <v>21</v>
      </c>
      <c r="C25" s="273">
        <v>140</v>
      </c>
      <c r="D25" s="348">
        <v>56.4</v>
      </c>
      <c r="E25" s="348">
        <v>14</v>
      </c>
      <c r="F25" s="349">
        <v>10</v>
      </c>
      <c r="G25" s="349">
        <v>3.5237110618556704</v>
      </c>
      <c r="H25" s="349">
        <v>3.5574463617021279</v>
      </c>
      <c r="I25" s="349">
        <v>3.5466666666666669</v>
      </c>
      <c r="J25" s="519">
        <v>154.8443579766537</v>
      </c>
      <c r="K25" s="519">
        <v>156.27941176470588</v>
      </c>
      <c r="L25" s="519">
        <v>155.38</v>
      </c>
      <c r="M25" s="519">
        <v>156.21400778210116</v>
      </c>
      <c r="N25" s="519">
        <v>156.13235294117646</v>
      </c>
      <c r="O25" s="519">
        <v>153.94</v>
      </c>
      <c r="P25" s="360">
        <v>6.7400000000000002E-2</v>
      </c>
      <c r="Q25" s="360">
        <v>7.1400000000000005E-2</v>
      </c>
      <c r="R25" s="360">
        <v>0.1</v>
      </c>
      <c r="S25" s="332">
        <v>0.5</v>
      </c>
      <c r="T25" s="332">
        <v>0.2767</v>
      </c>
      <c r="U25" s="514">
        <v>8</v>
      </c>
      <c r="V25" s="409">
        <v>0</v>
      </c>
      <c r="W25" s="409">
        <v>1</v>
      </c>
      <c r="X25" s="336">
        <v>58</v>
      </c>
      <c r="Y25" s="510">
        <v>0.93548387096774188</v>
      </c>
      <c r="Z25" s="341">
        <v>8</v>
      </c>
      <c r="AA25" s="341">
        <v>0</v>
      </c>
      <c r="AB25" s="341">
        <v>19</v>
      </c>
      <c r="AC25" s="341">
        <v>27</v>
      </c>
      <c r="AD25" s="72">
        <v>31</v>
      </c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</row>
    <row r="26" spans="1:842" s="112" customFormat="1" x14ac:dyDescent="0.25">
      <c r="A26" s="271" t="s">
        <v>20</v>
      </c>
      <c r="B26" s="272" t="s">
        <v>21</v>
      </c>
      <c r="C26" s="273">
        <v>350</v>
      </c>
      <c r="D26" s="348">
        <v>590.79999999999995</v>
      </c>
      <c r="E26" s="348">
        <v>84.6</v>
      </c>
      <c r="F26" s="349">
        <v>56.2</v>
      </c>
      <c r="G26" s="349">
        <v>3.4273219617486341</v>
      </c>
      <c r="H26" s="349">
        <v>3.5339364932126696</v>
      </c>
      <c r="I26" s="349">
        <v>3.4956138684210525</v>
      </c>
      <c r="J26" s="519">
        <v>160.08736669401148</v>
      </c>
      <c r="K26" s="519">
        <v>158.05528846153845</v>
      </c>
      <c r="L26" s="519">
        <v>157.8166089965398</v>
      </c>
      <c r="M26" s="519">
        <v>151.35767022149304</v>
      </c>
      <c r="N26" s="519">
        <v>152.31009615384616</v>
      </c>
      <c r="O26" s="519">
        <v>150.75086505190311</v>
      </c>
      <c r="P26" s="360">
        <v>3.6900000000000002E-2</v>
      </c>
      <c r="Q26" s="360">
        <v>5.91E-2</v>
      </c>
      <c r="R26" s="360">
        <v>4.2700000000000002E-2</v>
      </c>
      <c r="S26" s="332">
        <v>0.38109999999999999</v>
      </c>
      <c r="T26" s="332">
        <v>0.56899999999999995</v>
      </c>
      <c r="U26" s="513">
        <v>17</v>
      </c>
      <c r="V26" s="410">
        <v>0.33333333333333331</v>
      </c>
      <c r="W26" s="410">
        <v>0.66666666666666663</v>
      </c>
      <c r="X26" s="334">
        <v>250</v>
      </c>
      <c r="Y26" s="510">
        <v>0.94339622641509435</v>
      </c>
      <c r="Z26" s="341">
        <v>17</v>
      </c>
      <c r="AA26" s="341">
        <v>50</v>
      </c>
      <c r="AB26" s="341">
        <v>117</v>
      </c>
      <c r="AC26" s="341">
        <v>184</v>
      </c>
      <c r="AD26" s="72">
        <v>201</v>
      </c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</row>
    <row r="27" spans="1:842" x14ac:dyDescent="0.25">
      <c r="A27" s="271" t="s">
        <v>71</v>
      </c>
      <c r="B27" s="272" t="s">
        <v>21</v>
      </c>
      <c r="C27" s="273">
        <v>41</v>
      </c>
      <c r="D27" s="348">
        <v>11.2</v>
      </c>
      <c r="E27" s="348">
        <v>5.8</v>
      </c>
      <c r="F27" s="349">
        <v>4.4000000000000004</v>
      </c>
      <c r="G27" s="349">
        <v>3.5244440666666668</v>
      </c>
      <c r="H27" s="349">
        <v>3.5826081739130431</v>
      </c>
      <c r="I27" s="349">
        <v>3.6124999375</v>
      </c>
      <c r="J27" s="519">
        <v>149.85714285714286</v>
      </c>
      <c r="K27" s="519">
        <v>150.20833333333334</v>
      </c>
      <c r="L27" s="519">
        <v>149</v>
      </c>
      <c r="M27" s="519">
        <v>161.08571428571429</v>
      </c>
      <c r="N27" s="519">
        <v>162.375</v>
      </c>
      <c r="O27" s="519">
        <v>162.05882352941177</v>
      </c>
      <c r="P27" s="360">
        <v>1.7899999999999999E-2</v>
      </c>
      <c r="Q27" s="360">
        <v>0</v>
      </c>
      <c r="R27" s="360">
        <v>0</v>
      </c>
      <c r="S27" s="332">
        <v>0.35920000000000002</v>
      </c>
      <c r="T27" s="332">
        <v>6.3399999999999998E-2</v>
      </c>
      <c r="U27" s="513">
        <v>1</v>
      </c>
      <c r="V27" s="410">
        <v>0</v>
      </c>
      <c r="W27" s="410">
        <v>0</v>
      </c>
      <c r="X27" s="334">
        <v>8</v>
      </c>
      <c r="Y27" s="512">
        <v>0.34782608695652173</v>
      </c>
      <c r="Z27" s="341">
        <v>15</v>
      </c>
      <c r="AA27" s="341">
        <v>0</v>
      </c>
      <c r="AB27" s="341">
        <v>0</v>
      </c>
      <c r="AC27" s="341">
        <v>15</v>
      </c>
      <c r="AD27" s="72">
        <v>16</v>
      </c>
    </row>
    <row r="28" spans="1:842" s="112" customFormat="1" x14ac:dyDescent="0.25">
      <c r="A28" s="274" t="s">
        <v>177</v>
      </c>
      <c r="B28" s="272" t="s">
        <v>21</v>
      </c>
      <c r="C28" s="273">
        <v>47</v>
      </c>
      <c r="D28" s="348">
        <v>110</v>
      </c>
      <c r="E28" s="348">
        <v>5</v>
      </c>
      <c r="F28" s="349">
        <v>3.6</v>
      </c>
      <c r="G28" s="349">
        <v>3.6444438376068375</v>
      </c>
      <c r="H28" s="349">
        <v>3.7649997499999999</v>
      </c>
      <c r="I28" s="349">
        <v>3.7307692307692308</v>
      </c>
      <c r="J28" s="519">
        <v>150.03036437246965</v>
      </c>
      <c r="K28" s="519">
        <v>152.24</v>
      </c>
      <c r="L28" s="519">
        <v>151.31818181818181</v>
      </c>
      <c r="M28" s="519">
        <v>154.56882591093117</v>
      </c>
      <c r="N28" s="519">
        <v>159.32</v>
      </c>
      <c r="O28" s="519">
        <v>158.27272727272728</v>
      </c>
      <c r="P28" s="360">
        <v>0.25819999999999999</v>
      </c>
      <c r="Q28" s="360">
        <v>0.2</v>
      </c>
      <c r="R28" s="360">
        <v>0.16669999999999999</v>
      </c>
      <c r="S28" s="332">
        <v>0.76090000000000002</v>
      </c>
      <c r="T28" s="332">
        <v>0.21010000000000001</v>
      </c>
      <c r="U28" s="513">
        <v>7</v>
      </c>
      <c r="V28" s="408">
        <v>0.33333333333333331</v>
      </c>
      <c r="W28" s="408">
        <v>0.66666666666666663</v>
      </c>
      <c r="X28" s="334">
        <v>25</v>
      </c>
      <c r="Y28" s="510">
        <v>0.80645161290322576</v>
      </c>
      <c r="Z28" s="341">
        <v>0</v>
      </c>
      <c r="AA28" s="341">
        <v>1</v>
      </c>
      <c r="AB28" s="341">
        <v>1</v>
      </c>
      <c r="AC28" s="341">
        <v>2</v>
      </c>
      <c r="AD28" s="72">
        <v>36</v>
      </c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</row>
    <row r="29" spans="1:842" s="112" customFormat="1" x14ac:dyDescent="0.25">
      <c r="A29" s="274" t="s">
        <v>178</v>
      </c>
      <c r="B29" s="272" t="s">
        <v>21</v>
      </c>
      <c r="C29" s="273">
        <v>115</v>
      </c>
      <c r="D29" s="348">
        <v>206.4</v>
      </c>
      <c r="E29" s="348">
        <v>22.2</v>
      </c>
      <c r="F29" s="349">
        <v>16.399999999999999</v>
      </c>
      <c r="G29" s="349">
        <v>3.6248470401948842</v>
      </c>
      <c r="H29" s="349">
        <v>3.6878786060606061</v>
      </c>
      <c r="I29" s="349">
        <v>3.6757141571428567</v>
      </c>
      <c r="J29" s="519">
        <v>152.18415417558887</v>
      </c>
      <c r="K29" s="519">
        <v>153.75454545454545</v>
      </c>
      <c r="L29" s="519">
        <v>153.65957446808511</v>
      </c>
      <c r="M29" s="519">
        <v>155.53211991434691</v>
      </c>
      <c r="N29" s="519">
        <v>158.5</v>
      </c>
      <c r="O29" s="519">
        <v>158.02127659574469</v>
      </c>
      <c r="P29" s="360">
        <v>0.14630000000000001</v>
      </c>
      <c r="Q29" s="360">
        <v>0.1351</v>
      </c>
      <c r="R29" s="360">
        <v>0.1341</v>
      </c>
      <c r="S29" s="332">
        <v>0.7278</v>
      </c>
      <c r="T29" s="332">
        <v>9.9699999999999997E-2</v>
      </c>
      <c r="U29" s="513">
        <v>7</v>
      </c>
      <c r="V29" s="408">
        <v>0</v>
      </c>
      <c r="W29" s="408">
        <v>1</v>
      </c>
      <c r="X29" s="334">
        <v>61</v>
      </c>
      <c r="Y29" s="510">
        <v>0.96825396825396826</v>
      </c>
      <c r="Z29" s="341">
        <v>7</v>
      </c>
      <c r="AA29" s="341">
        <v>6</v>
      </c>
      <c r="AB29" s="341">
        <v>12</v>
      </c>
      <c r="AC29" s="341">
        <v>25</v>
      </c>
      <c r="AD29" s="72">
        <v>70</v>
      </c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</row>
    <row r="30" spans="1:842" s="112" customFormat="1" x14ac:dyDescent="0.25">
      <c r="A30" s="271" t="s">
        <v>19</v>
      </c>
      <c r="B30" s="272" t="s">
        <v>18</v>
      </c>
      <c r="C30" s="273">
        <v>53</v>
      </c>
      <c r="D30" s="348">
        <v>106.2</v>
      </c>
      <c r="E30" s="348">
        <v>8.8000000000000007</v>
      </c>
      <c r="F30" s="349">
        <v>5</v>
      </c>
      <c r="G30" s="349">
        <v>3.5992124251968503</v>
      </c>
      <c r="H30" s="349">
        <v>3.7105263157894739</v>
      </c>
      <c r="I30" s="349">
        <v>3.6499996000000001</v>
      </c>
      <c r="J30" s="519">
        <v>162</v>
      </c>
      <c r="K30" s="523">
        <v>159.34883720930233</v>
      </c>
      <c r="L30" s="519">
        <v>158.6</v>
      </c>
      <c r="M30" s="519">
        <v>153.66666666666666</v>
      </c>
      <c r="N30" s="519">
        <v>156.44186046511629</v>
      </c>
      <c r="O30" s="519">
        <v>155.91999999999999</v>
      </c>
      <c r="P30" s="360">
        <v>3.0099999999999998E-2</v>
      </c>
      <c r="Q30" s="360">
        <v>0.15909999999999999</v>
      </c>
      <c r="R30" s="360">
        <v>0.16</v>
      </c>
      <c r="S30" s="332">
        <v>0.43359999999999999</v>
      </c>
      <c r="T30" s="332">
        <v>0.29199999999999998</v>
      </c>
      <c r="U30" s="513">
        <v>3</v>
      </c>
      <c r="V30" s="410">
        <v>0.5</v>
      </c>
      <c r="W30" s="410">
        <v>0.5</v>
      </c>
      <c r="X30" s="337">
        <v>15</v>
      </c>
      <c r="Y30" s="510">
        <v>0.83333333333333337</v>
      </c>
      <c r="Z30" s="341">
        <v>12</v>
      </c>
      <c r="AA30" s="341">
        <v>7</v>
      </c>
      <c r="AB30" s="341">
        <v>2</v>
      </c>
      <c r="AC30" s="341">
        <v>21</v>
      </c>
      <c r="AD30" s="72">
        <v>22</v>
      </c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</row>
    <row r="31" spans="1:842" s="112" customFormat="1" x14ac:dyDescent="0.25">
      <c r="A31" s="271" t="s">
        <v>27</v>
      </c>
      <c r="B31" s="272" t="s">
        <v>21</v>
      </c>
      <c r="C31" s="273">
        <v>60</v>
      </c>
      <c r="D31" s="348">
        <v>180.4</v>
      </c>
      <c r="E31" s="348">
        <v>17.8</v>
      </c>
      <c r="F31" s="349">
        <v>11.8</v>
      </c>
      <c r="G31" s="349">
        <v>3.6271081716867468</v>
      </c>
      <c r="H31" s="349">
        <v>3.6972218055555555</v>
      </c>
      <c r="I31" s="349">
        <v>3.704545045454545</v>
      </c>
      <c r="J31" s="519">
        <v>147.91861898890258</v>
      </c>
      <c r="K31" s="519">
        <v>147.4</v>
      </c>
      <c r="L31" s="519">
        <v>146.40983606557376</v>
      </c>
      <c r="M31" s="519">
        <v>159.12700369913688</v>
      </c>
      <c r="N31" s="519">
        <v>160.70588235294119</v>
      </c>
      <c r="O31" s="519">
        <v>159.62295081967213</v>
      </c>
      <c r="P31" s="360">
        <v>0.112</v>
      </c>
      <c r="Q31" s="360">
        <v>0.1348</v>
      </c>
      <c r="R31" s="360">
        <v>0.1186</v>
      </c>
      <c r="S31" s="332">
        <v>0.53790000000000004</v>
      </c>
      <c r="T31" s="332">
        <v>0.10829999999999999</v>
      </c>
      <c r="U31" s="513">
        <v>12</v>
      </c>
      <c r="V31" s="410">
        <v>0.4</v>
      </c>
      <c r="W31" s="410">
        <v>0.6</v>
      </c>
      <c r="X31" s="337">
        <v>91</v>
      </c>
      <c r="Y31" s="510">
        <v>0.93814432989690721</v>
      </c>
      <c r="Z31" s="341">
        <v>57</v>
      </c>
      <c r="AA31" s="341">
        <v>1</v>
      </c>
      <c r="AB31" s="341">
        <v>13</v>
      </c>
      <c r="AC31" s="341">
        <v>71</v>
      </c>
      <c r="AD31" s="72">
        <v>74</v>
      </c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</row>
    <row r="32" spans="1:842" s="112" customFormat="1" x14ac:dyDescent="0.25">
      <c r="A32" s="271" t="s">
        <v>36</v>
      </c>
      <c r="B32" s="272" t="s">
        <v>21</v>
      </c>
      <c r="C32" s="273">
        <v>73</v>
      </c>
      <c r="D32" s="348">
        <v>22.8</v>
      </c>
      <c r="E32" s="348">
        <v>12.2</v>
      </c>
      <c r="F32" s="349">
        <v>5.4</v>
      </c>
      <c r="G32" s="349">
        <v>3.4153842692307697</v>
      </c>
      <c r="H32" s="349">
        <v>3.5388886111111111</v>
      </c>
      <c r="I32" s="349">
        <v>3.3999994999999998</v>
      </c>
      <c r="J32" s="519">
        <v>156.20754716981133</v>
      </c>
      <c r="K32" s="519">
        <v>156.22033898305085</v>
      </c>
      <c r="L32" s="519">
        <v>156.96153846153845</v>
      </c>
      <c r="M32" s="519">
        <v>151.03773584905662</v>
      </c>
      <c r="N32" s="519">
        <v>153.54237288135593</v>
      </c>
      <c r="O32" s="519">
        <v>151.92307692307693</v>
      </c>
      <c r="P32" s="360">
        <v>6.1400000000000003E-2</v>
      </c>
      <c r="Q32" s="360">
        <v>6.5600000000000006E-2</v>
      </c>
      <c r="R32" s="360">
        <v>0.1111</v>
      </c>
      <c r="S32" s="332">
        <v>0.48570000000000002</v>
      </c>
      <c r="T32" s="332">
        <v>0.44569999999999999</v>
      </c>
      <c r="U32" s="513">
        <v>3</v>
      </c>
      <c r="V32" s="410">
        <v>0</v>
      </c>
      <c r="W32" s="410">
        <v>0</v>
      </c>
      <c r="X32" s="337">
        <v>27</v>
      </c>
      <c r="Y32" s="510">
        <v>0.77142857142857146</v>
      </c>
      <c r="Z32" s="341">
        <v>12</v>
      </c>
      <c r="AA32" s="341">
        <v>7</v>
      </c>
      <c r="AB32" s="341">
        <v>7</v>
      </c>
      <c r="AC32" s="341">
        <v>26</v>
      </c>
      <c r="AD32" s="72">
        <v>27</v>
      </c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</row>
    <row r="33" spans="1:842" s="112" customFormat="1" x14ac:dyDescent="0.25">
      <c r="A33" s="271" t="s">
        <v>33</v>
      </c>
      <c r="B33" s="272" t="s">
        <v>21</v>
      </c>
      <c r="C33" s="273">
        <v>74</v>
      </c>
      <c r="D33" s="348">
        <v>29.6</v>
      </c>
      <c r="E33" s="348">
        <v>9.4</v>
      </c>
      <c r="F33" s="349">
        <v>4.4000000000000004</v>
      </c>
      <c r="G33" s="349">
        <v>3.6224133448275864</v>
      </c>
      <c r="H33" s="349">
        <v>3.6366664000000002</v>
      </c>
      <c r="I33" s="349">
        <v>3.6272726363636365</v>
      </c>
      <c r="J33" s="519">
        <v>158.5</v>
      </c>
      <c r="K33" s="519">
        <v>158.63043478260869</v>
      </c>
      <c r="L33" s="519">
        <v>158.82608695652175</v>
      </c>
      <c r="M33" s="519">
        <v>152.61194029850745</v>
      </c>
      <c r="N33" s="519">
        <v>155.82608695652175</v>
      </c>
      <c r="O33" s="519">
        <v>155.43478260869566</v>
      </c>
      <c r="P33" s="360">
        <v>5.4100000000000002E-2</v>
      </c>
      <c r="Q33" s="360">
        <v>4.2599999999999999E-2</v>
      </c>
      <c r="R33" s="360">
        <v>0</v>
      </c>
      <c r="S33" s="332">
        <v>0.48870000000000002</v>
      </c>
      <c r="T33" s="332">
        <v>0.3609</v>
      </c>
      <c r="U33" s="513">
        <v>0</v>
      </c>
      <c r="V33" s="410">
        <v>0</v>
      </c>
      <c r="W33" s="410">
        <v>0</v>
      </c>
      <c r="X33" s="338">
        <v>29</v>
      </c>
      <c r="Y33" s="510">
        <v>0.90625</v>
      </c>
      <c r="Z33" s="342">
        <v>2</v>
      </c>
      <c r="AA33" s="342">
        <v>4</v>
      </c>
      <c r="AB33" s="342">
        <v>9</v>
      </c>
      <c r="AC33" s="341">
        <v>15</v>
      </c>
      <c r="AD33" s="72">
        <v>18</v>
      </c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</row>
    <row r="34" spans="1:842" s="112" customFormat="1" x14ac:dyDescent="0.25">
      <c r="A34" s="274" t="s">
        <v>37</v>
      </c>
      <c r="B34" s="272" t="s">
        <v>21</v>
      </c>
      <c r="C34" s="273">
        <v>75</v>
      </c>
      <c r="D34" s="348">
        <v>1</v>
      </c>
      <c r="E34" s="348">
        <v>0.6</v>
      </c>
      <c r="F34" s="349">
        <v>0.4</v>
      </c>
      <c r="G34" s="349">
        <v>3.7666666666666671</v>
      </c>
      <c r="H34" s="349">
        <v>3.8</v>
      </c>
      <c r="I34" s="349">
        <v>3.7</v>
      </c>
      <c r="J34" s="519">
        <v>149</v>
      </c>
      <c r="K34" s="519">
        <v>149</v>
      </c>
      <c r="L34" s="519">
        <v>150</v>
      </c>
      <c r="M34" s="519">
        <v>151.4</v>
      </c>
      <c r="N34" s="519">
        <v>153</v>
      </c>
      <c r="O34" s="519">
        <v>150.5</v>
      </c>
      <c r="P34" s="360">
        <v>0</v>
      </c>
      <c r="Q34" s="360">
        <v>0</v>
      </c>
      <c r="R34" s="360">
        <v>0</v>
      </c>
      <c r="S34" s="332">
        <v>0.54549999999999998</v>
      </c>
      <c r="T34" s="332">
        <v>0.36359999999999998</v>
      </c>
      <c r="U34" s="513">
        <v>0</v>
      </c>
      <c r="V34" s="408">
        <v>0</v>
      </c>
      <c r="W34" s="408">
        <v>0</v>
      </c>
      <c r="X34" s="334">
        <v>0</v>
      </c>
      <c r="Y34" s="510">
        <v>0</v>
      </c>
      <c r="Z34" s="341">
        <v>5</v>
      </c>
      <c r="AA34" s="341">
        <v>0</v>
      </c>
      <c r="AB34" s="341">
        <v>0</v>
      </c>
      <c r="AC34" s="341">
        <v>5</v>
      </c>
      <c r="AD34" s="72">
        <v>4</v>
      </c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</row>
    <row r="35" spans="1:842" s="112" customFormat="1" x14ac:dyDescent="0.25">
      <c r="A35" s="274" t="s">
        <v>179</v>
      </c>
      <c r="B35" s="272" t="s">
        <v>21</v>
      </c>
      <c r="C35" s="273">
        <v>123</v>
      </c>
      <c r="D35" s="348">
        <v>1.8</v>
      </c>
      <c r="E35" s="348">
        <v>0.2</v>
      </c>
      <c r="F35" s="349">
        <v>0</v>
      </c>
      <c r="G35" s="349">
        <v>3.7666666666666671</v>
      </c>
      <c r="H35" s="349"/>
      <c r="I35" s="349"/>
      <c r="J35" s="519">
        <v>147.75</v>
      </c>
      <c r="K35" s="362"/>
      <c r="L35" s="362"/>
      <c r="M35" s="519">
        <v>155.5</v>
      </c>
      <c r="N35" s="519"/>
      <c r="O35" s="519"/>
      <c r="P35" s="360">
        <v>0.22220000000000001</v>
      </c>
      <c r="Q35" s="360">
        <v>0</v>
      </c>
      <c r="R35" s="360">
        <v>0</v>
      </c>
      <c r="S35" s="332">
        <v>0.42420000000000002</v>
      </c>
      <c r="T35" s="332">
        <v>0.31430000000000002</v>
      </c>
      <c r="U35" s="514">
        <v>0</v>
      </c>
      <c r="V35" s="409">
        <v>0.5</v>
      </c>
      <c r="W35" s="409">
        <v>0.5</v>
      </c>
      <c r="X35" s="72">
        <v>2</v>
      </c>
      <c r="Y35" s="510">
        <v>0.4</v>
      </c>
      <c r="Z35" s="341">
        <v>5</v>
      </c>
      <c r="AA35" s="341">
        <v>1</v>
      </c>
      <c r="AB35" s="341">
        <v>4</v>
      </c>
      <c r="AC35" s="341">
        <v>10</v>
      </c>
      <c r="AD35" s="72">
        <v>11</v>
      </c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  <c r="ACC35" s="17"/>
      <c r="ACD35" s="17"/>
      <c r="ACE35" s="17"/>
      <c r="ACF35" s="17"/>
      <c r="ACG35" s="17"/>
      <c r="ACH35" s="17"/>
      <c r="ACI35" s="17"/>
      <c r="ACJ35" s="17"/>
      <c r="ACK35" s="17"/>
      <c r="ACL35" s="17"/>
      <c r="ACM35" s="17"/>
      <c r="ACN35" s="17"/>
      <c r="ACO35" s="17"/>
      <c r="ACP35" s="17"/>
      <c r="ACQ35" s="17"/>
      <c r="ACR35" s="17"/>
      <c r="ACS35" s="17"/>
      <c r="ACT35" s="17"/>
      <c r="ACU35" s="17"/>
      <c r="ACV35" s="17"/>
      <c r="ACW35" s="17"/>
      <c r="ACX35" s="17"/>
      <c r="ACY35" s="17"/>
      <c r="ACZ35" s="17"/>
      <c r="ADA35" s="17"/>
      <c r="ADB35" s="17"/>
      <c r="ADC35" s="17"/>
      <c r="ADD35" s="17"/>
      <c r="ADE35" s="17"/>
      <c r="ADF35" s="17"/>
      <c r="ADG35" s="17"/>
      <c r="ADH35" s="17"/>
      <c r="ADI35" s="17"/>
      <c r="ADJ35" s="17"/>
      <c r="ADK35" s="17"/>
      <c r="ADL35" s="17"/>
      <c r="ADM35" s="17"/>
      <c r="ADN35" s="17"/>
      <c r="ADO35" s="17"/>
      <c r="ADP35" s="17"/>
      <c r="ADQ35" s="17"/>
      <c r="ADR35" s="17"/>
      <c r="ADS35" s="17"/>
      <c r="ADT35" s="17"/>
      <c r="ADU35" s="17"/>
      <c r="ADV35" s="17"/>
      <c r="ADW35" s="17"/>
      <c r="ADX35" s="17"/>
      <c r="ADY35" s="17"/>
      <c r="ADZ35" s="17"/>
      <c r="AEA35" s="17"/>
      <c r="AEB35" s="17"/>
      <c r="AEC35" s="17"/>
      <c r="AED35" s="17"/>
      <c r="AEE35" s="17"/>
      <c r="AEF35" s="17"/>
      <c r="AEG35" s="17"/>
      <c r="AEH35" s="17"/>
      <c r="AEI35" s="17"/>
      <c r="AEJ35" s="17"/>
      <c r="AEK35" s="17"/>
      <c r="AEL35" s="17"/>
      <c r="AEM35" s="17"/>
      <c r="AEN35" s="17"/>
      <c r="AEO35" s="17"/>
      <c r="AEP35" s="17"/>
      <c r="AEQ35" s="17"/>
      <c r="AER35" s="17"/>
      <c r="AES35" s="17"/>
      <c r="AET35" s="17"/>
      <c r="AEU35" s="17"/>
      <c r="AEV35" s="17"/>
      <c r="AEW35" s="17"/>
      <c r="AEX35" s="17"/>
      <c r="AEY35" s="17"/>
      <c r="AEZ35" s="17"/>
      <c r="AFA35" s="17"/>
      <c r="AFB35" s="17"/>
      <c r="AFC35" s="17"/>
      <c r="AFD35" s="17"/>
      <c r="AFE35" s="17"/>
      <c r="AFF35" s="17"/>
      <c r="AFG35" s="17"/>
      <c r="AFH35" s="17"/>
      <c r="AFI35" s="17"/>
      <c r="AFJ35" s="17"/>
    </row>
    <row r="36" spans="1:842" s="112" customFormat="1" x14ac:dyDescent="0.25">
      <c r="A36" s="271" t="s">
        <v>30</v>
      </c>
      <c r="B36" s="272" t="s">
        <v>21</v>
      </c>
      <c r="C36" s="273">
        <v>81</v>
      </c>
      <c r="D36" s="348">
        <v>93</v>
      </c>
      <c r="E36" s="348">
        <v>16.2</v>
      </c>
      <c r="F36" s="349">
        <v>10.199999999999999</v>
      </c>
      <c r="G36" s="349">
        <v>3.6072912812499998</v>
      </c>
      <c r="H36" s="349">
        <v>3.7583328472222224</v>
      </c>
      <c r="I36" s="349">
        <v>3.7674413023255813</v>
      </c>
      <c r="J36" s="519">
        <v>147.92740046838406</v>
      </c>
      <c r="K36" s="519">
        <v>149.61250000000001</v>
      </c>
      <c r="L36" s="519">
        <v>149.33962264150944</v>
      </c>
      <c r="M36" s="519">
        <v>158.6658878504673</v>
      </c>
      <c r="N36" s="519">
        <v>161.75</v>
      </c>
      <c r="O36" s="519">
        <v>161.1320754716981</v>
      </c>
      <c r="P36" s="360">
        <v>0.1226</v>
      </c>
      <c r="Q36" s="360">
        <v>8.6400000000000005E-2</v>
      </c>
      <c r="R36" s="360">
        <v>5.8799999999999998E-2</v>
      </c>
      <c r="S36" s="332">
        <v>0.42180000000000001</v>
      </c>
      <c r="T36" s="332">
        <v>0.1285</v>
      </c>
      <c r="U36" s="513">
        <v>5</v>
      </c>
      <c r="V36" s="410">
        <v>0.6</v>
      </c>
      <c r="W36" s="410">
        <v>0.4</v>
      </c>
      <c r="X36" s="337">
        <v>54</v>
      </c>
      <c r="Y36" s="510">
        <v>0.88524590163934425</v>
      </c>
      <c r="Z36" s="341">
        <v>23</v>
      </c>
      <c r="AA36" s="341">
        <v>5</v>
      </c>
      <c r="AB36" s="341">
        <v>1</v>
      </c>
      <c r="AC36" s="341">
        <v>29</v>
      </c>
      <c r="AD36" s="72">
        <v>34</v>
      </c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</row>
    <row r="37" spans="1:842" s="112" customFormat="1" x14ac:dyDescent="0.25">
      <c r="A37" s="271" t="s">
        <v>32</v>
      </c>
      <c r="B37" s="272" t="s">
        <v>21</v>
      </c>
      <c r="C37" s="273">
        <v>90</v>
      </c>
      <c r="D37" s="348">
        <v>48.6</v>
      </c>
      <c r="E37" s="348">
        <v>16</v>
      </c>
      <c r="F37" s="349">
        <v>8</v>
      </c>
      <c r="G37" s="349">
        <v>3.6454544772727275</v>
      </c>
      <c r="H37" s="349">
        <v>3.7740740740740741</v>
      </c>
      <c r="I37" s="349">
        <v>3.7142857142857144</v>
      </c>
      <c r="J37" s="519">
        <v>148.57788944723617</v>
      </c>
      <c r="K37" s="519">
        <v>148.75641025641025</v>
      </c>
      <c r="L37" s="519">
        <v>146.53333333333333</v>
      </c>
      <c r="M37" s="519">
        <v>149.46231155778895</v>
      </c>
      <c r="N37" s="519">
        <v>151.56410256410257</v>
      </c>
      <c r="O37" s="519">
        <v>147.6888888888889</v>
      </c>
      <c r="P37" s="360">
        <v>2.8799999999999999E-2</v>
      </c>
      <c r="Q37" s="360">
        <v>6.25E-2</v>
      </c>
      <c r="R37" s="360">
        <v>2.5000000000000001E-2</v>
      </c>
      <c r="S37" s="332">
        <v>0.52880000000000005</v>
      </c>
      <c r="T37" s="332">
        <v>0.68059999999999998</v>
      </c>
      <c r="U37" s="513">
        <v>1</v>
      </c>
      <c r="V37" s="410">
        <v>0</v>
      </c>
      <c r="W37" s="410">
        <v>0</v>
      </c>
      <c r="X37" s="337">
        <v>24</v>
      </c>
      <c r="Y37" s="510">
        <v>0.58536585365853655</v>
      </c>
      <c r="Z37" s="341">
        <v>14</v>
      </c>
      <c r="AA37" s="341">
        <v>3</v>
      </c>
      <c r="AB37" s="341">
        <v>1</v>
      </c>
      <c r="AC37" s="341">
        <v>18</v>
      </c>
      <c r="AD37" s="72">
        <v>23</v>
      </c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</row>
    <row r="38" spans="1:842" s="112" customFormat="1" x14ac:dyDescent="0.25">
      <c r="A38" s="272" t="s">
        <v>28</v>
      </c>
      <c r="B38" s="272" t="s">
        <v>21</v>
      </c>
      <c r="C38" s="273">
        <v>94</v>
      </c>
      <c r="D38" s="348">
        <v>157.19999999999999</v>
      </c>
      <c r="E38" s="348">
        <v>40.4</v>
      </c>
      <c r="F38" s="349">
        <v>14.2</v>
      </c>
      <c r="G38" s="349">
        <v>3.565780179401993</v>
      </c>
      <c r="H38" s="349">
        <v>3.64710115942029</v>
      </c>
      <c r="I38" s="349">
        <v>3.6156861372549018</v>
      </c>
      <c r="J38" s="519">
        <v>162.59232954545453</v>
      </c>
      <c r="K38" s="519">
        <v>162.875</v>
      </c>
      <c r="L38" s="519">
        <v>162.26760563380282</v>
      </c>
      <c r="M38" s="519">
        <v>152.75</v>
      </c>
      <c r="N38" s="519">
        <v>157.16</v>
      </c>
      <c r="O38" s="519">
        <v>156.09859154929578</v>
      </c>
      <c r="P38" s="360">
        <v>4.7100000000000003E-2</v>
      </c>
      <c r="Q38" s="360">
        <v>8.4199999999999997E-2</v>
      </c>
      <c r="R38" s="360">
        <v>0.11269999999999999</v>
      </c>
      <c r="S38" s="332">
        <v>0.32490000000000002</v>
      </c>
      <c r="T38" s="332">
        <v>0.36520000000000002</v>
      </c>
      <c r="U38" s="513">
        <v>6</v>
      </c>
      <c r="V38" s="410">
        <v>0.66666666666666663</v>
      </c>
      <c r="W38" s="410">
        <v>0.33333333333333331</v>
      </c>
      <c r="X38" s="337">
        <v>66</v>
      </c>
      <c r="Y38" s="510">
        <v>0.94285714285714284</v>
      </c>
      <c r="Z38" s="341">
        <v>19</v>
      </c>
      <c r="AA38" s="341">
        <v>4</v>
      </c>
      <c r="AB38" s="341">
        <v>15</v>
      </c>
      <c r="AC38" s="341">
        <v>38</v>
      </c>
      <c r="AD38" s="72">
        <v>42</v>
      </c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</row>
    <row r="39" spans="1:842" s="112" customFormat="1" x14ac:dyDescent="0.25">
      <c r="A39" s="271" t="s">
        <v>34</v>
      </c>
      <c r="B39" s="272" t="s">
        <v>21</v>
      </c>
      <c r="C39" s="273">
        <v>108</v>
      </c>
      <c r="D39" s="348">
        <v>21.2</v>
      </c>
      <c r="E39" s="348">
        <v>3.8</v>
      </c>
      <c r="F39" s="349">
        <v>1.6</v>
      </c>
      <c r="G39" s="349">
        <v>3.6352939411764704</v>
      </c>
      <c r="H39" s="349">
        <v>3.7117645882352939</v>
      </c>
      <c r="I39" s="349">
        <v>3.7124997500000001</v>
      </c>
      <c r="J39" s="519">
        <v>154.24691358024691</v>
      </c>
      <c r="K39" s="519">
        <v>155.52631578947367</v>
      </c>
      <c r="L39" s="519">
        <v>152.875</v>
      </c>
      <c r="M39" s="519">
        <v>159.75308641975309</v>
      </c>
      <c r="N39" s="519">
        <v>163.21052631578948</v>
      </c>
      <c r="O39" s="519">
        <v>164.25</v>
      </c>
      <c r="P39" s="360">
        <v>3.7699999999999997E-2</v>
      </c>
      <c r="Q39" s="360">
        <v>0</v>
      </c>
      <c r="R39" s="360">
        <v>0</v>
      </c>
      <c r="S39" s="332">
        <v>8.3299999999999999E-2</v>
      </c>
      <c r="T39" s="332">
        <v>0.27079999999999999</v>
      </c>
      <c r="U39" s="513">
        <v>0</v>
      </c>
      <c r="V39" s="410">
        <v>0.5</v>
      </c>
      <c r="W39" s="410">
        <v>0</v>
      </c>
      <c r="X39" s="337">
        <v>3</v>
      </c>
      <c r="Y39" s="510">
        <v>0.75</v>
      </c>
      <c r="Z39" s="341">
        <v>10</v>
      </c>
      <c r="AA39" s="341">
        <v>2</v>
      </c>
      <c r="AB39" s="341">
        <v>0</v>
      </c>
      <c r="AC39" s="341">
        <v>12</v>
      </c>
      <c r="AD39" s="72">
        <v>14</v>
      </c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</row>
    <row r="40" spans="1:842" s="112" customFormat="1" x14ac:dyDescent="0.25">
      <c r="A40" s="271" t="s">
        <v>25</v>
      </c>
      <c r="B40" s="272" t="s">
        <v>21</v>
      </c>
      <c r="C40" s="273">
        <v>110</v>
      </c>
      <c r="D40" s="348">
        <v>286.39999999999998</v>
      </c>
      <c r="E40" s="348">
        <v>67.400000000000006</v>
      </c>
      <c r="F40" s="349">
        <v>23.6</v>
      </c>
      <c r="G40" s="349">
        <v>3.5263291569148931</v>
      </c>
      <c r="H40" s="349">
        <v>3.6310158609625667</v>
      </c>
      <c r="I40" s="349">
        <v>3.560316920634921</v>
      </c>
      <c r="J40" s="519">
        <v>162.52927215189874</v>
      </c>
      <c r="K40" s="519">
        <v>162.42388059701491</v>
      </c>
      <c r="L40" s="519">
        <v>161.25619834710744</v>
      </c>
      <c r="M40" s="519">
        <v>152.17009493670886</v>
      </c>
      <c r="N40" s="519">
        <v>155.51343283582091</v>
      </c>
      <c r="O40" s="519">
        <v>153.84297520661158</v>
      </c>
      <c r="P40" s="360">
        <v>3.6299999999999999E-2</v>
      </c>
      <c r="Q40" s="360">
        <v>5.9299999999999999E-2</v>
      </c>
      <c r="R40" s="360">
        <v>4.24E-2</v>
      </c>
      <c r="S40" s="332">
        <v>0.16739999999999999</v>
      </c>
      <c r="T40" s="332">
        <v>0.51400000000000001</v>
      </c>
      <c r="U40" s="513">
        <v>5</v>
      </c>
      <c r="V40" s="410">
        <v>0.5</v>
      </c>
      <c r="W40" s="410">
        <v>0.5</v>
      </c>
      <c r="X40" s="337">
        <v>131</v>
      </c>
      <c r="Y40" s="510">
        <v>1</v>
      </c>
      <c r="Z40" s="341">
        <v>6</v>
      </c>
      <c r="AA40" s="341">
        <v>24</v>
      </c>
      <c r="AB40" s="341">
        <v>49</v>
      </c>
      <c r="AC40" s="341">
        <v>79</v>
      </c>
      <c r="AD40" s="72">
        <v>91</v>
      </c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</row>
    <row r="41" spans="1:842" s="112" customFormat="1" x14ac:dyDescent="0.25">
      <c r="A41" s="271" t="s">
        <v>31</v>
      </c>
      <c r="B41" s="272" t="s">
        <v>21</v>
      </c>
      <c r="C41" s="273" t="s">
        <v>163</v>
      </c>
      <c r="D41" s="348">
        <v>87.8</v>
      </c>
      <c r="E41" s="348">
        <v>43.4</v>
      </c>
      <c r="F41" s="349">
        <v>16.600000000000001</v>
      </c>
      <c r="G41" s="349">
        <v>3.6030649080459769</v>
      </c>
      <c r="H41" s="349">
        <v>3.6887414105960263</v>
      </c>
      <c r="I41" s="349">
        <v>3.692856928571429</v>
      </c>
      <c r="J41" s="519">
        <v>151.90151515151516</v>
      </c>
      <c r="K41" s="519">
        <v>153.24186046511628</v>
      </c>
      <c r="L41" s="519">
        <v>152.13095238095238</v>
      </c>
      <c r="M41" s="519">
        <v>157.09595959595958</v>
      </c>
      <c r="N41" s="519">
        <v>159.93953488372094</v>
      </c>
      <c r="O41" s="519">
        <v>158.86904761904762</v>
      </c>
      <c r="P41" s="360">
        <v>0.1298</v>
      </c>
      <c r="Q41" s="360">
        <v>0.1336</v>
      </c>
      <c r="R41" s="360">
        <v>0.1928</v>
      </c>
      <c r="S41" s="332">
        <v>0.38590000000000002</v>
      </c>
      <c r="T41" s="332">
        <v>0.27289999999999998</v>
      </c>
      <c r="U41" s="513">
        <v>13</v>
      </c>
      <c r="V41" s="410">
        <v>0.5</v>
      </c>
      <c r="W41" s="410">
        <v>0.33333333333333331</v>
      </c>
      <c r="X41" s="337">
        <v>74</v>
      </c>
      <c r="Y41" s="510">
        <v>0.86046511627906974</v>
      </c>
      <c r="Z41" s="341">
        <v>27</v>
      </c>
      <c r="AA41" s="341">
        <v>6</v>
      </c>
      <c r="AB41" s="341">
        <v>1</v>
      </c>
      <c r="AC41" s="341">
        <v>34</v>
      </c>
      <c r="AD41" s="72">
        <v>44</v>
      </c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</row>
    <row r="42" spans="1:842" x14ac:dyDescent="0.25">
      <c r="A42" s="271" t="s">
        <v>70</v>
      </c>
      <c r="B42" s="272" t="s">
        <v>21</v>
      </c>
      <c r="C42" s="273" t="s">
        <v>166</v>
      </c>
      <c r="D42" s="348">
        <v>17</v>
      </c>
      <c r="E42" s="348">
        <v>8.8000000000000007</v>
      </c>
      <c r="F42" s="349">
        <v>5</v>
      </c>
      <c r="G42" s="349">
        <v>3.6736837894736842</v>
      </c>
      <c r="H42" s="349">
        <v>3.6621619999999995</v>
      </c>
      <c r="I42" s="349">
        <v>3.642856952380952</v>
      </c>
      <c r="J42" s="519">
        <v>149.88749999999999</v>
      </c>
      <c r="K42" s="519">
        <v>151.30232558139534</v>
      </c>
      <c r="L42" s="519">
        <v>151.44</v>
      </c>
      <c r="M42" s="519">
        <v>159.375</v>
      </c>
      <c r="N42" s="519">
        <v>161.83720930232559</v>
      </c>
      <c r="O42" s="519">
        <v>161.04</v>
      </c>
      <c r="P42" s="360">
        <v>0.10589999999999999</v>
      </c>
      <c r="Q42" s="360">
        <v>4.5499999999999999E-2</v>
      </c>
      <c r="R42" s="360">
        <v>0.04</v>
      </c>
      <c r="S42" s="332">
        <v>0.59460000000000002</v>
      </c>
      <c r="T42" s="332">
        <v>9.01E-2</v>
      </c>
      <c r="U42" s="513">
        <v>0</v>
      </c>
      <c r="V42" s="410">
        <v>0</v>
      </c>
      <c r="W42" s="410">
        <v>0</v>
      </c>
      <c r="X42" s="334">
        <v>18</v>
      </c>
      <c r="Y42" s="512">
        <v>0.78260869565217395</v>
      </c>
      <c r="Z42" s="341">
        <v>15</v>
      </c>
      <c r="AA42" s="341">
        <v>1</v>
      </c>
      <c r="AB42" s="341">
        <v>0</v>
      </c>
      <c r="AC42" s="341">
        <v>16</v>
      </c>
      <c r="AD42" s="72">
        <v>15</v>
      </c>
    </row>
    <row r="43" spans="1:842" s="112" customFormat="1" x14ac:dyDescent="0.25">
      <c r="A43" s="271" t="s">
        <v>152</v>
      </c>
      <c r="B43" s="272" t="s">
        <v>21</v>
      </c>
      <c r="C43" s="273" t="s">
        <v>158</v>
      </c>
      <c r="D43" s="348">
        <v>20.399999999999999</v>
      </c>
      <c r="E43" s="348">
        <v>5.6</v>
      </c>
      <c r="F43" s="349">
        <v>4.2</v>
      </c>
      <c r="G43" s="349">
        <v>3.5392854285714286</v>
      </c>
      <c r="H43" s="349">
        <v>3.7181818181818183</v>
      </c>
      <c r="I43" s="349">
        <v>3.6833331666666669</v>
      </c>
      <c r="J43" s="519">
        <v>143.51219512195121</v>
      </c>
      <c r="K43" s="519">
        <v>141.90909090909091</v>
      </c>
      <c r="L43" s="519">
        <v>143</v>
      </c>
      <c r="M43" s="519">
        <v>149.73170731707316</v>
      </c>
      <c r="N43" s="519">
        <v>149.81818181818181</v>
      </c>
      <c r="O43" s="519">
        <v>150.28571428571428</v>
      </c>
      <c r="P43" s="360">
        <v>0.43140000000000001</v>
      </c>
      <c r="Q43" s="360">
        <v>0.32140000000000002</v>
      </c>
      <c r="R43" s="360">
        <v>0.23810000000000001</v>
      </c>
      <c r="S43" s="332">
        <v>0.79730000000000001</v>
      </c>
      <c r="T43" s="332">
        <v>0.56850000000000001</v>
      </c>
      <c r="U43" s="514">
        <v>9</v>
      </c>
      <c r="V43" s="411">
        <v>0.16666666666666666</v>
      </c>
      <c r="W43" s="411">
        <v>0.5</v>
      </c>
      <c r="X43" s="177">
        <v>24</v>
      </c>
      <c r="Y43" s="510">
        <v>0.8</v>
      </c>
      <c r="Z43" s="341">
        <v>23</v>
      </c>
      <c r="AA43" s="341">
        <v>3</v>
      </c>
      <c r="AB43" s="341">
        <v>0</v>
      </c>
      <c r="AC43" s="341">
        <v>26</v>
      </c>
      <c r="AD43" s="72">
        <v>28</v>
      </c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</row>
    <row r="44" spans="1:842" s="112" customFormat="1" x14ac:dyDescent="0.25">
      <c r="A44" s="274" t="s">
        <v>180</v>
      </c>
      <c r="B44" s="272" t="s">
        <v>21</v>
      </c>
      <c r="C44" s="273">
        <v>128</v>
      </c>
      <c r="D44" s="348">
        <v>39</v>
      </c>
      <c r="E44" s="348">
        <v>19</v>
      </c>
      <c r="F44" s="349">
        <v>7.8</v>
      </c>
      <c r="G44" s="349">
        <v>3.5534349541984733</v>
      </c>
      <c r="H44" s="349">
        <v>3.6575755454545456</v>
      </c>
      <c r="I44" s="349">
        <v>3.5960000000000001</v>
      </c>
      <c r="J44" s="519">
        <v>150.08522727272728</v>
      </c>
      <c r="K44" s="519">
        <v>152.29787234042553</v>
      </c>
      <c r="L44" s="519">
        <v>151.25641025641025</v>
      </c>
      <c r="M44" s="519">
        <v>153.75568181818181</v>
      </c>
      <c r="N44" s="519">
        <v>156.79787234042553</v>
      </c>
      <c r="O44" s="519">
        <v>156.30769230769232</v>
      </c>
      <c r="P44" s="360">
        <v>0.24099999999999999</v>
      </c>
      <c r="Q44" s="360">
        <v>0.15790000000000001</v>
      </c>
      <c r="R44" s="360">
        <v>0.2051</v>
      </c>
      <c r="S44" s="332">
        <v>0.6169</v>
      </c>
      <c r="T44" s="332">
        <v>0.2016</v>
      </c>
      <c r="U44" s="514">
        <v>12</v>
      </c>
      <c r="V44" s="409">
        <v>0.16666666666666666</v>
      </c>
      <c r="W44" s="409">
        <v>0.83333333333333337</v>
      </c>
      <c r="X44" s="404">
        <v>37</v>
      </c>
      <c r="Y44" s="510">
        <v>0.82222222222222219</v>
      </c>
      <c r="Z44" s="341">
        <v>12</v>
      </c>
      <c r="AA44" s="341">
        <v>7</v>
      </c>
      <c r="AB44" s="341">
        <v>2</v>
      </c>
      <c r="AC44" s="341">
        <v>21</v>
      </c>
      <c r="AD44" s="72">
        <v>23</v>
      </c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</row>
    <row r="45" spans="1:842" s="112" customFormat="1" x14ac:dyDescent="0.25">
      <c r="A45" s="274" t="s">
        <v>181</v>
      </c>
      <c r="B45" s="272" t="s">
        <v>21</v>
      </c>
      <c r="C45" s="273">
        <v>443</v>
      </c>
      <c r="D45" s="348">
        <v>29.2</v>
      </c>
      <c r="E45" s="348">
        <v>12.4</v>
      </c>
      <c r="F45" s="349">
        <v>5.2</v>
      </c>
      <c r="G45" s="349">
        <v>3.5806450430107528</v>
      </c>
      <c r="H45" s="349">
        <v>3.6765954893617026</v>
      </c>
      <c r="I45" s="349">
        <v>3.6789471578947368</v>
      </c>
      <c r="J45" s="519">
        <v>150.25</v>
      </c>
      <c r="K45" s="519">
        <v>150.72131147540983</v>
      </c>
      <c r="L45" s="519">
        <v>149.5185185185185</v>
      </c>
      <c r="M45" s="519">
        <v>154.6328125</v>
      </c>
      <c r="N45" s="519">
        <v>156.04918032786884</v>
      </c>
      <c r="O45" s="519">
        <v>156.03703703703704</v>
      </c>
      <c r="P45" s="360">
        <v>0.18490000000000001</v>
      </c>
      <c r="Q45" s="360">
        <v>0.1774</v>
      </c>
      <c r="R45" s="360">
        <v>0.23080000000000001</v>
      </c>
      <c r="S45" s="332">
        <v>0.72550000000000003</v>
      </c>
      <c r="T45" s="332">
        <v>8.5000000000000006E-2</v>
      </c>
      <c r="U45" s="513">
        <v>8</v>
      </c>
      <c r="V45" s="408">
        <v>0.33333333333333331</v>
      </c>
      <c r="W45" s="408">
        <v>0.33333333333333331</v>
      </c>
      <c r="X45" s="405">
        <v>29</v>
      </c>
      <c r="Y45" s="510">
        <v>0.80555555555555558</v>
      </c>
      <c r="Z45" s="341">
        <v>18</v>
      </c>
      <c r="AA45" s="341">
        <v>5</v>
      </c>
      <c r="AB45" s="341">
        <v>0</v>
      </c>
      <c r="AC45" s="341">
        <v>23</v>
      </c>
      <c r="AD45" s="72">
        <v>23</v>
      </c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</row>
    <row r="46" spans="1:842" s="112" customFormat="1" x14ac:dyDescent="0.25">
      <c r="A46" s="271" t="s">
        <v>26</v>
      </c>
      <c r="B46" s="272" t="s">
        <v>21</v>
      </c>
      <c r="C46" s="273">
        <v>132</v>
      </c>
      <c r="D46" s="348">
        <v>206.2</v>
      </c>
      <c r="E46" s="348">
        <v>17.2</v>
      </c>
      <c r="F46" s="349">
        <v>15.6</v>
      </c>
      <c r="G46" s="349">
        <v>3.6581697908496733</v>
      </c>
      <c r="H46" s="349">
        <v>3.7363635454545454</v>
      </c>
      <c r="I46" s="349">
        <v>3.737036925925926</v>
      </c>
      <c r="J46" s="519">
        <v>164.02352941176471</v>
      </c>
      <c r="K46" s="519">
        <v>163.30232558139534</v>
      </c>
      <c r="L46" s="519">
        <v>163.65</v>
      </c>
      <c r="M46" s="519">
        <v>153.76791443850269</v>
      </c>
      <c r="N46" s="519">
        <v>155.88372093023256</v>
      </c>
      <c r="O46" s="519">
        <v>156.03749999999999</v>
      </c>
      <c r="P46" s="360">
        <v>1.1599999999999999E-2</v>
      </c>
      <c r="Q46" s="360">
        <v>3.49E-2</v>
      </c>
      <c r="R46" s="360">
        <v>3.85E-2</v>
      </c>
      <c r="S46" s="332">
        <v>0.35270000000000001</v>
      </c>
      <c r="T46" s="332">
        <v>0.70550000000000002</v>
      </c>
      <c r="U46" s="513">
        <v>1</v>
      </c>
      <c r="V46" s="410">
        <v>1</v>
      </c>
      <c r="W46" s="410">
        <v>0</v>
      </c>
      <c r="X46" s="337">
        <v>45</v>
      </c>
      <c r="Y46" s="510">
        <v>0.95744680851063835</v>
      </c>
      <c r="Z46" s="341">
        <v>9</v>
      </c>
      <c r="AA46" s="341">
        <v>11</v>
      </c>
      <c r="AB46" s="341">
        <v>8</v>
      </c>
      <c r="AC46" s="341">
        <v>28</v>
      </c>
      <c r="AD46" s="72">
        <v>29</v>
      </c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</row>
    <row r="47" spans="1:842" s="112" customFormat="1" x14ac:dyDescent="0.25">
      <c r="A47" s="271" t="s">
        <v>38</v>
      </c>
      <c r="B47" s="272" t="s">
        <v>39</v>
      </c>
      <c r="C47" s="273">
        <v>141</v>
      </c>
      <c r="D47" s="348">
        <v>67.599999999999994</v>
      </c>
      <c r="E47" s="348">
        <v>27.4</v>
      </c>
      <c r="F47" s="349">
        <v>13</v>
      </c>
      <c r="G47" s="349">
        <v>3.4592589259259259</v>
      </c>
      <c r="H47" s="349">
        <v>3.546153653846154</v>
      </c>
      <c r="I47" s="349">
        <v>3.4812500000000002</v>
      </c>
      <c r="J47" s="519">
        <v>156.93560606060606</v>
      </c>
      <c r="K47" s="519">
        <v>158.36799999999999</v>
      </c>
      <c r="L47" s="519">
        <v>157.38983050847457</v>
      </c>
      <c r="M47" s="519">
        <v>149.75</v>
      </c>
      <c r="N47" s="519">
        <v>153.10400000000001</v>
      </c>
      <c r="O47" s="519">
        <v>153.40677966101694</v>
      </c>
      <c r="P47" s="360">
        <v>3.2500000000000001E-2</v>
      </c>
      <c r="Q47" s="360">
        <v>2.1899999999999999E-2</v>
      </c>
      <c r="R47" s="360">
        <v>3.0800000000000001E-2</v>
      </c>
      <c r="S47" s="332">
        <v>0.4143</v>
      </c>
      <c r="T47" s="332">
        <v>0.48110000000000003</v>
      </c>
      <c r="U47" s="514">
        <v>8</v>
      </c>
      <c r="V47" s="411">
        <v>1</v>
      </c>
      <c r="W47" s="411">
        <v>0</v>
      </c>
      <c r="X47" s="339">
        <v>51</v>
      </c>
      <c r="Y47" s="510">
        <v>0.50495049504950495</v>
      </c>
      <c r="Z47" s="341">
        <v>24</v>
      </c>
      <c r="AA47" s="341">
        <v>11</v>
      </c>
      <c r="AB47" s="341">
        <v>5</v>
      </c>
      <c r="AC47" s="341">
        <v>40</v>
      </c>
      <c r="AD47" s="72">
        <v>46</v>
      </c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</row>
    <row r="48" spans="1:842" s="112" customFormat="1" x14ac:dyDescent="0.25">
      <c r="A48" s="271" t="s">
        <v>41</v>
      </c>
      <c r="B48" s="275" t="s">
        <v>40</v>
      </c>
      <c r="C48" s="273">
        <v>437</v>
      </c>
      <c r="D48" s="348">
        <v>88.2</v>
      </c>
      <c r="E48" s="348">
        <v>36.4</v>
      </c>
      <c r="F48" s="349">
        <v>24.4</v>
      </c>
      <c r="G48" s="349">
        <v>3.5275189573643408</v>
      </c>
      <c r="H48" s="349">
        <v>3.5658114871794875</v>
      </c>
      <c r="I48" s="349">
        <v>3.573469112244898</v>
      </c>
      <c r="J48" s="519">
        <v>148.99166666666667</v>
      </c>
      <c r="K48" s="519">
        <v>151.27167630057804</v>
      </c>
      <c r="L48" s="519">
        <v>149.63025210084032</v>
      </c>
      <c r="M48" s="519">
        <v>151.4638888888889</v>
      </c>
      <c r="N48" s="519">
        <v>154.82080924855492</v>
      </c>
      <c r="O48" s="519">
        <v>153.98319327731093</v>
      </c>
      <c r="P48" s="360">
        <v>0.16550000000000001</v>
      </c>
      <c r="Q48" s="360">
        <v>0.12089999999999999</v>
      </c>
      <c r="R48" s="360">
        <v>0.15570000000000001</v>
      </c>
      <c r="S48" s="332">
        <v>0.78969999999999996</v>
      </c>
      <c r="T48" s="332">
        <v>0.23039999999999999</v>
      </c>
      <c r="U48" s="513">
        <v>9</v>
      </c>
      <c r="V48" s="410">
        <v>0.375</v>
      </c>
      <c r="W48" s="410">
        <v>0.5</v>
      </c>
      <c r="X48" s="337">
        <v>45</v>
      </c>
      <c r="Y48" s="510">
        <v>0.569620253164557</v>
      </c>
      <c r="Z48" s="341">
        <v>26</v>
      </c>
      <c r="AA48" s="341">
        <v>10</v>
      </c>
      <c r="AB48" s="341">
        <v>6</v>
      </c>
      <c r="AC48" s="341">
        <v>42</v>
      </c>
      <c r="AD48" s="72">
        <v>65</v>
      </c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</row>
    <row r="49" spans="1:842" s="112" customFormat="1" x14ac:dyDescent="0.25">
      <c r="A49" s="276" t="s">
        <v>182</v>
      </c>
      <c r="B49" s="275" t="s">
        <v>40</v>
      </c>
      <c r="C49" s="273">
        <v>54</v>
      </c>
      <c r="D49" s="348">
        <v>33.4</v>
      </c>
      <c r="E49" s="348">
        <v>17</v>
      </c>
      <c r="F49" s="349">
        <v>13</v>
      </c>
      <c r="G49" s="349">
        <v>3.4642270325203253</v>
      </c>
      <c r="H49" s="349">
        <v>3.5054048513513516</v>
      </c>
      <c r="I49" s="349">
        <v>3.4966099830508477</v>
      </c>
      <c r="J49" s="519">
        <v>146.61904761904762</v>
      </c>
      <c r="K49" s="519">
        <v>147.78823529411764</v>
      </c>
      <c r="L49" s="519">
        <v>146.19696969696969</v>
      </c>
      <c r="M49" s="519">
        <v>151.45238095238096</v>
      </c>
      <c r="N49" s="519">
        <v>153.4</v>
      </c>
      <c r="O49" s="519">
        <v>152.5151515151515</v>
      </c>
      <c r="P49" s="360">
        <v>0.27539999999999998</v>
      </c>
      <c r="Q49" s="363">
        <v>0.17649999999999999</v>
      </c>
      <c r="R49" s="360">
        <v>0.18459999999999999</v>
      </c>
      <c r="S49" s="332">
        <v>0.71789999999999998</v>
      </c>
      <c r="T49" s="332">
        <v>3.85E-2</v>
      </c>
      <c r="U49" s="513">
        <v>4</v>
      </c>
      <c r="V49" s="408">
        <v>0.66666666666666663</v>
      </c>
      <c r="W49" s="408">
        <v>0.33333333333333331</v>
      </c>
      <c r="X49" s="334">
        <v>6</v>
      </c>
      <c r="Y49" s="510">
        <v>0.42857142857142855</v>
      </c>
      <c r="Z49" s="341">
        <v>8</v>
      </c>
      <c r="AA49" s="341">
        <v>14</v>
      </c>
      <c r="AB49" s="341">
        <v>2</v>
      </c>
      <c r="AC49" s="341">
        <v>24</v>
      </c>
      <c r="AD49" s="72">
        <v>25</v>
      </c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</row>
    <row r="50" spans="1:842" s="112" customFormat="1" x14ac:dyDescent="0.25">
      <c r="A50" s="274" t="s">
        <v>183</v>
      </c>
      <c r="B50" s="275" t="s">
        <v>40</v>
      </c>
      <c r="C50" s="273">
        <v>55</v>
      </c>
      <c r="D50" s="348">
        <v>6</v>
      </c>
      <c r="E50" s="348">
        <v>0.8</v>
      </c>
      <c r="F50" s="349">
        <v>0.2</v>
      </c>
      <c r="G50" s="349">
        <v>3.4555555555555557</v>
      </c>
      <c r="H50" s="349">
        <v>3.9</v>
      </c>
      <c r="I50" s="349">
        <v>4</v>
      </c>
      <c r="J50" s="519">
        <v>155.72</v>
      </c>
      <c r="K50" s="519">
        <v>161.5</v>
      </c>
      <c r="L50" s="519">
        <v>159</v>
      </c>
      <c r="M50" s="519">
        <v>153.72</v>
      </c>
      <c r="N50" s="519">
        <v>153.25</v>
      </c>
      <c r="O50" s="519">
        <v>154</v>
      </c>
      <c r="P50" s="360">
        <v>0.2</v>
      </c>
      <c r="Q50" s="360">
        <v>0.5</v>
      </c>
      <c r="R50" s="360">
        <v>1</v>
      </c>
      <c r="S50" s="332">
        <v>0.88890000000000002</v>
      </c>
      <c r="T50" s="332">
        <v>0.27779999999999999</v>
      </c>
      <c r="U50" s="513">
        <v>1</v>
      </c>
      <c r="V50" s="408">
        <v>0.5</v>
      </c>
      <c r="W50" s="408">
        <v>0</v>
      </c>
      <c r="X50" s="334">
        <v>0</v>
      </c>
      <c r="Y50" s="510">
        <v>0</v>
      </c>
      <c r="Z50" s="341">
        <v>10</v>
      </c>
      <c r="AA50" s="341">
        <v>5</v>
      </c>
      <c r="AB50" s="341">
        <v>2</v>
      </c>
      <c r="AC50" s="341">
        <v>17</v>
      </c>
      <c r="AD50" s="72">
        <v>15</v>
      </c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  <c r="ACC50" s="17"/>
      <c r="ACD50" s="17"/>
      <c r="ACE50" s="17"/>
      <c r="ACF50" s="17"/>
      <c r="ACG50" s="17"/>
      <c r="ACH50" s="17"/>
      <c r="ACI50" s="17"/>
      <c r="ACJ50" s="17"/>
      <c r="ACK50" s="17"/>
      <c r="ACL50" s="17"/>
      <c r="ACM50" s="17"/>
      <c r="ACN50" s="17"/>
      <c r="ACO50" s="17"/>
      <c r="ACP50" s="17"/>
      <c r="ACQ50" s="17"/>
      <c r="ACR50" s="17"/>
      <c r="ACS50" s="17"/>
      <c r="ACT50" s="17"/>
      <c r="ACU50" s="17"/>
      <c r="ACV50" s="17"/>
      <c r="ACW50" s="17"/>
      <c r="ACX50" s="17"/>
      <c r="ACY50" s="17"/>
      <c r="ACZ50" s="17"/>
      <c r="ADA50" s="17"/>
      <c r="ADB50" s="17"/>
      <c r="ADC50" s="17"/>
      <c r="ADD50" s="17"/>
      <c r="ADE50" s="17"/>
      <c r="ADF50" s="17"/>
      <c r="ADG50" s="17"/>
      <c r="ADH50" s="17"/>
      <c r="ADI50" s="17"/>
      <c r="ADJ50" s="17"/>
      <c r="ADK50" s="17"/>
      <c r="ADL50" s="17"/>
      <c r="ADM50" s="17"/>
      <c r="ADN50" s="17"/>
      <c r="ADO50" s="17"/>
      <c r="ADP50" s="17"/>
      <c r="ADQ50" s="17"/>
      <c r="ADR50" s="17"/>
      <c r="ADS50" s="17"/>
      <c r="ADT50" s="17"/>
      <c r="ADU50" s="17"/>
      <c r="ADV50" s="17"/>
      <c r="ADW50" s="17"/>
      <c r="ADX50" s="17"/>
      <c r="ADY50" s="17"/>
      <c r="ADZ50" s="17"/>
      <c r="AEA50" s="17"/>
      <c r="AEB50" s="17"/>
      <c r="AEC50" s="17"/>
      <c r="AED50" s="17"/>
      <c r="AEE50" s="17"/>
      <c r="AEF50" s="17"/>
      <c r="AEG50" s="17"/>
      <c r="AEH50" s="17"/>
      <c r="AEI50" s="17"/>
      <c r="AEJ50" s="17"/>
      <c r="AEK50" s="17"/>
      <c r="AEL50" s="17"/>
      <c r="AEM50" s="17"/>
      <c r="AEN50" s="17"/>
      <c r="AEO50" s="17"/>
      <c r="AEP50" s="17"/>
      <c r="AEQ50" s="17"/>
      <c r="AER50" s="17"/>
      <c r="AES50" s="17"/>
      <c r="AET50" s="17"/>
      <c r="AEU50" s="17"/>
      <c r="AEV50" s="17"/>
      <c r="AEW50" s="17"/>
      <c r="AEX50" s="17"/>
      <c r="AEY50" s="17"/>
      <c r="AEZ50" s="17"/>
      <c r="AFA50" s="17"/>
      <c r="AFB50" s="17"/>
      <c r="AFC50" s="17"/>
      <c r="AFD50" s="17"/>
      <c r="AFE50" s="17"/>
      <c r="AFF50" s="17"/>
      <c r="AFG50" s="17"/>
      <c r="AFH50" s="17"/>
      <c r="AFI50" s="17"/>
      <c r="AFJ50" s="17"/>
    </row>
    <row r="51" spans="1:842" s="112" customFormat="1" x14ac:dyDescent="0.25">
      <c r="A51" s="274" t="s">
        <v>184</v>
      </c>
      <c r="B51" s="275" t="s">
        <v>40</v>
      </c>
      <c r="C51" s="273">
        <v>80</v>
      </c>
      <c r="D51" s="348">
        <v>33.799999999999997</v>
      </c>
      <c r="E51" s="348">
        <v>13.8</v>
      </c>
      <c r="F51" s="349">
        <v>10.8</v>
      </c>
      <c r="G51" s="349">
        <v>3.4234781913043477</v>
      </c>
      <c r="H51" s="349">
        <v>3.4819996400000002</v>
      </c>
      <c r="I51" s="349">
        <v>3.51749965</v>
      </c>
      <c r="J51" s="519">
        <v>147.24031007751938</v>
      </c>
      <c r="K51" s="519">
        <v>147.02898550724638</v>
      </c>
      <c r="L51" s="519">
        <v>146.05454545454546</v>
      </c>
      <c r="M51" s="519">
        <v>151.47286821705427</v>
      </c>
      <c r="N51" s="519">
        <v>152.85507246376812</v>
      </c>
      <c r="O51" s="519">
        <v>153.05454545454546</v>
      </c>
      <c r="P51" s="360">
        <v>0.32540000000000002</v>
      </c>
      <c r="Q51" s="360">
        <v>0.24640000000000001</v>
      </c>
      <c r="R51" s="360">
        <v>0.27779999999999999</v>
      </c>
      <c r="S51" s="332">
        <v>0.55220000000000002</v>
      </c>
      <c r="T51" s="332">
        <v>0.14180000000000001</v>
      </c>
      <c r="U51" s="513">
        <v>7</v>
      </c>
      <c r="V51" s="408">
        <v>0.25</v>
      </c>
      <c r="W51" s="408">
        <v>0.25</v>
      </c>
      <c r="X51" s="334">
        <v>10</v>
      </c>
      <c r="Y51" s="510">
        <v>0.47619047619047616</v>
      </c>
      <c r="Z51" s="341">
        <v>19</v>
      </c>
      <c r="AA51" s="341">
        <v>7</v>
      </c>
      <c r="AB51" s="341">
        <v>0</v>
      </c>
      <c r="AC51" s="341">
        <v>26</v>
      </c>
      <c r="AD51" s="72">
        <v>29</v>
      </c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</row>
    <row r="52" spans="1:842" s="112" customFormat="1" x14ac:dyDescent="0.25">
      <c r="A52" s="274" t="s">
        <v>185</v>
      </c>
      <c r="B52" s="275" t="s">
        <v>40</v>
      </c>
      <c r="C52" s="273">
        <v>91</v>
      </c>
      <c r="D52" s="348">
        <v>15.2</v>
      </c>
      <c r="E52" s="348">
        <v>5</v>
      </c>
      <c r="F52" s="349">
        <v>2.4</v>
      </c>
      <c r="G52" s="349">
        <v>3.5804345434782605</v>
      </c>
      <c r="H52" s="349">
        <v>3.549999772727273</v>
      </c>
      <c r="I52" s="349">
        <v>3.6090909090909093</v>
      </c>
      <c r="J52" s="519">
        <v>149.09836065573771</v>
      </c>
      <c r="K52" s="519">
        <v>149.30434782608697</v>
      </c>
      <c r="L52" s="519">
        <v>148.09090909090909</v>
      </c>
      <c r="M52" s="519">
        <v>152.55737704918033</v>
      </c>
      <c r="N52" s="519">
        <v>153.21739130434781</v>
      </c>
      <c r="O52" s="519">
        <v>153</v>
      </c>
      <c r="P52" s="360">
        <v>0.22370000000000001</v>
      </c>
      <c r="Q52" s="360">
        <v>0.24</v>
      </c>
      <c r="R52" s="360">
        <v>0.25</v>
      </c>
      <c r="S52" s="332">
        <v>0.64559999999999995</v>
      </c>
      <c r="T52" s="332">
        <v>2.53E-2</v>
      </c>
      <c r="U52" s="513">
        <v>5</v>
      </c>
      <c r="V52" s="408">
        <v>0.66666666666666663</v>
      </c>
      <c r="W52" s="408">
        <v>0.33333333333333331</v>
      </c>
      <c r="X52" s="334">
        <v>10</v>
      </c>
      <c r="Y52" s="510">
        <v>0.66666666666666663</v>
      </c>
      <c r="Z52" s="341">
        <v>6</v>
      </c>
      <c r="AA52" s="341">
        <v>5</v>
      </c>
      <c r="AB52" s="341">
        <v>0</v>
      </c>
      <c r="AC52" s="341">
        <v>11</v>
      </c>
      <c r="AD52" s="72">
        <v>10</v>
      </c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</row>
    <row r="53" spans="1:842" s="112" customFormat="1" x14ac:dyDescent="0.25">
      <c r="A53" s="274" t="s">
        <v>186</v>
      </c>
      <c r="B53" s="275" t="s">
        <v>40</v>
      </c>
      <c r="C53" s="273">
        <v>98</v>
      </c>
      <c r="D53" s="348">
        <v>9.8000000000000007</v>
      </c>
      <c r="E53" s="348">
        <v>3.8</v>
      </c>
      <c r="F53" s="349">
        <v>2.2000000000000002</v>
      </c>
      <c r="G53" s="349">
        <v>3.5571427857142859</v>
      </c>
      <c r="H53" s="349">
        <v>3.549999772727273</v>
      </c>
      <c r="I53" s="349">
        <v>3.46</v>
      </c>
      <c r="J53" s="519">
        <v>148.67441860465115</v>
      </c>
      <c r="K53" s="519">
        <v>151.55555555555554</v>
      </c>
      <c r="L53" s="519">
        <v>151.6</v>
      </c>
      <c r="M53" s="519">
        <v>152.69767441860466</v>
      </c>
      <c r="N53" s="519">
        <v>155.11111111111111</v>
      </c>
      <c r="O53" s="519">
        <v>154.30000000000001</v>
      </c>
      <c r="P53" s="360">
        <v>0.26529999999999998</v>
      </c>
      <c r="Q53" s="360">
        <v>0.15790000000000001</v>
      </c>
      <c r="R53" s="360">
        <v>0.18179999999999999</v>
      </c>
      <c r="S53" s="332">
        <v>0.81520000000000004</v>
      </c>
      <c r="T53" s="332">
        <v>0.16300000000000001</v>
      </c>
      <c r="U53" s="513">
        <v>1</v>
      </c>
      <c r="V53" s="408">
        <v>0.4</v>
      </c>
      <c r="W53" s="408">
        <v>0.6</v>
      </c>
      <c r="X53" s="334">
        <v>12</v>
      </c>
      <c r="Y53" s="510">
        <v>0.70588235294117652</v>
      </c>
      <c r="Z53" s="341">
        <v>19</v>
      </c>
      <c r="AA53" s="341">
        <v>11</v>
      </c>
      <c r="AB53" s="341">
        <v>0</v>
      </c>
      <c r="AC53" s="341">
        <v>30</v>
      </c>
      <c r="AD53" s="72">
        <v>32</v>
      </c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</row>
    <row r="54" spans="1:842" s="112" customFormat="1" x14ac:dyDescent="0.25">
      <c r="A54" s="274" t="s">
        <v>187</v>
      </c>
      <c r="B54" s="275" t="s">
        <v>40</v>
      </c>
      <c r="C54" s="273">
        <v>122</v>
      </c>
      <c r="D54" s="348">
        <v>12.6</v>
      </c>
      <c r="E54" s="348">
        <v>8.1999999999999993</v>
      </c>
      <c r="F54" s="349">
        <v>1.8</v>
      </c>
      <c r="G54" s="349">
        <v>3.3777777777777778</v>
      </c>
      <c r="H54" s="349">
        <v>3.5999998888888891</v>
      </c>
      <c r="I54" s="349">
        <v>3.75</v>
      </c>
      <c r="J54" s="519">
        <v>158.45454545454547</v>
      </c>
      <c r="K54" s="519">
        <v>160.07692307692307</v>
      </c>
      <c r="L54" s="519">
        <v>155.77777777777777</v>
      </c>
      <c r="M54" s="519">
        <v>152.29090909090908</v>
      </c>
      <c r="N54" s="519">
        <v>153.25641025641025</v>
      </c>
      <c r="O54" s="519">
        <v>150.44444444444446</v>
      </c>
      <c r="P54" s="360">
        <v>4.7600000000000003E-2</v>
      </c>
      <c r="Q54" s="360">
        <v>2.4400000000000002E-2</v>
      </c>
      <c r="R54" s="360">
        <v>0</v>
      </c>
      <c r="S54" s="332">
        <v>0.52110000000000001</v>
      </c>
      <c r="T54" s="332">
        <v>0.60560000000000003</v>
      </c>
      <c r="U54" s="513">
        <v>2</v>
      </c>
      <c r="V54" s="408">
        <v>0</v>
      </c>
      <c r="W54" s="408">
        <v>0</v>
      </c>
      <c r="X54" s="334">
        <v>6</v>
      </c>
      <c r="Y54" s="510">
        <v>0.46153846153846156</v>
      </c>
      <c r="Z54" s="341">
        <v>1</v>
      </c>
      <c r="AA54" s="341">
        <v>5</v>
      </c>
      <c r="AB54" s="341">
        <v>1</v>
      </c>
      <c r="AC54" s="341">
        <v>7</v>
      </c>
      <c r="AD54" s="72">
        <v>8</v>
      </c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  <c r="ACC54" s="17"/>
      <c r="ACD54" s="17"/>
      <c r="ACE54" s="17"/>
      <c r="ACF54" s="17"/>
      <c r="ACG54" s="17"/>
      <c r="ACH54" s="17"/>
      <c r="ACI54" s="17"/>
      <c r="ACJ54" s="17"/>
      <c r="ACK54" s="17"/>
      <c r="ACL54" s="17"/>
      <c r="ACM54" s="17"/>
      <c r="ACN54" s="17"/>
      <c r="ACO54" s="17"/>
      <c r="ACP54" s="17"/>
      <c r="ACQ54" s="17"/>
      <c r="ACR54" s="17"/>
      <c r="ACS54" s="17"/>
      <c r="ACT54" s="17"/>
      <c r="ACU54" s="17"/>
      <c r="ACV54" s="17"/>
      <c r="ACW54" s="17"/>
      <c r="ACX54" s="17"/>
      <c r="ACY54" s="17"/>
      <c r="ACZ54" s="17"/>
      <c r="ADA54" s="17"/>
      <c r="ADB54" s="17"/>
      <c r="ADC54" s="17"/>
      <c r="ADD54" s="17"/>
      <c r="ADE54" s="17"/>
      <c r="ADF54" s="17"/>
      <c r="ADG54" s="17"/>
      <c r="ADH54" s="17"/>
      <c r="ADI54" s="17"/>
      <c r="ADJ54" s="17"/>
      <c r="ADK54" s="17"/>
      <c r="ADL54" s="17"/>
      <c r="ADM54" s="17"/>
      <c r="ADN54" s="17"/>
      <c r="ADO54" s="17"/>
      <c r="ADP54" s="17"/>
      <c r="ADQ54" s="17"/>
      <c r="ADR54" s="17"/>
      <c r="ADS54" s="17"/>
      <c r="ADT54" s="17"/>
      <c r="ADU54" s="17"/>
      <c r="ADV54" s="17"/>
      <c r="ADW54" s="17"/>
      <c r="ADX54" s="17"/>
      <c r="ADY54" s="17"/>
      <c r="ADZ54" s="17"/>
      <c r="AEA54" s="17"/>
      <c r="AEB54" s="17"/>
      <c r="AEC54" s="17"/>
      <c r="AED54" s="17"/>
      <c r="AEE54" s="17"/>
      <c r="AEF54" s="17"/>
      <c r="AEG54" s="17"/>
      <c r="AEH54" s="17"/>
      <c r="AEI54" s="17"/>
      <c r="AEJ54" s="17"/>
      <c r="AEK54" s="17"/>
      <c r="AEL54" s="17"/>
      <c r="AEM54" s="17"/>
      <c r="AEN54" s="17"/>
      <c r="AEO54" s="17"/>
      <c r="AEP54" s="17"/>
      <c r="AEQ54" s="17"/>
      <c r="AER54" s="17"/>
      <c r="AES54" s="17"/>
      <c r="AET54" s="17"/>
      <c r="AEU54" s="17"/>
      <c r="AEV54" s="17"/>
      <c r="AEW54" s="17"/>
      <c r="AEX54" s="17"/>
      <c r="AEY54" s="17"/>
      <c r="AEZ54" s="17"/>
      <c r="AFA54" s="17"/>
      <c r="AFB54" s="17"/>
      <c r="AFC54" s="17"/>
      <c r="AFD54" s="17"/>
      <c r="AFE54" s="17"/>
      <c r="AFF54" s="17"/>
      <c r="AFG54" s="17"/>
      <c r="AFH54" s="17"/>
      <c r="AFI54" s="17"/>
      <c r="AFJ54" s="17"/>
    </row>
    <row r="55" spans="1:842" s="112" customFormat="1" x14ac:dyDescent="0.25">
      <c r="A55" s="276" t="s">
        <v>188</v>
      </c>
      <c r="B55" s="275" t="s">
        <v>40</v>
      </c>
      <c r="C55" s="277">
        <v>124</v>
      </c>
      <c r="D55" s="348">
        <v>5</v>
      </c>
      <c r="E55" s="348">
        <v>1.8</v>
      </c>
      <c r="F55" s="349">
        <v>0.6</v>
      </c>
      <c r="G55" s="349">
        <v>3.5</v>
      </c>
      <c r="H55" s="349">
        <v>3.5666666666666664</v>
      </c>
      <c r="I55" s="349">
        <v>3.9</v>
      </c>
      <c r="J55" s="519">
        <v>151.69999999999999</v>
      </c>
      <c r="K55" s="519">
        <v>153.375</v>
      </c>
      <c r="L55" s="519">
        <v>153.33333333333334</v>
      </c>
      <c r="M55" s="519">
        <v>156.15</v>
      </c>
      <c r="N55" s="519">
        <v>156</v>
      </c>
      <c r="O55" s="519">
        <v>157.33333333333334</v>
      </c>
      <c r="P55" s="360">
        <v>0.16</v>
      </c>
      <c r="Q55" s="360">
        <v>0.22220000000000001</v>
      </c>
      <c r="R55" s="360">
        <v>0</v>
      </c>
      <c r="S55" s="332">
        <v>0.65629999999999999</v>
      </c>
      <c r="T55" s="332">
        <v>0.125</v>
      </c>
      <c r="U55" s="513">
        <v>3</v>
      </c>
      <c r="V55" s="408">
        <v>0</v>
      </c>
      <c r="W55" s="408">
        <v>1</v>
      </c>
      <c r="X55" s="334">
        <v>4</v>
      </c>
      <c r="Y55" s="510">
        <v>0.66666666666666663</v>
      </c>
      <c r="Z55" s="341">
        <v>6</v>
      </c>
      <c r="AA55" s="341">
        <v>5</v>
      </c>
      <c r="AB55" s="341">
        <v>0</v>
      </c>
      <c r="AC55" s="341">
        <v>11</v>
      </c>
      <c r="AD55" s="72">
        <v>11</v>
      </c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  <c r="AAK55" s="17"/>
      <c r="AAL55" s="17"/>
      <c r="AAM55" s="17"/>
      <c r="AAN55" s="17"/>
      <c r="AAO55" s="17"/>
      <c r="AAP55" s="17"/>
      <c r="AAQ55" s="17"/>
      <c r="AAR55" s="17"/>
      <c r="AAS55" s="17"/>
      <c r="AAT55" s="17"/>
      <c r="AAU55" s="17"/>
      <c r="AAV55" s="17"/>
      <c r="AAW55" s="17"/>
      <c r="AAX55" s="17"/>
      <c r="AAY55" s="17"/>
      <c r="AAZ55" s="17"/>
      <c r="ABA55" s="17"/>
      <c r="ABB55" s="17"/>
      <c r="ABC55" s="17"/>
      <c r="ABD55" s="17"/>
      <c r="ABE55" s="17"/>
      <c r="ABF55" s="17"/>
      <c r="ABG55" s="17"/>
      <c r="ABH55" s="17"/>
      <c r="ABI55" s="17"/>
      <c r="ABJ55" s="17"/>
      <c r="ABK55" s="17"/>
      <c r="ABL55" s="17"/>
      <c r="ABM55" s="17"/>
      <c r="ABN55" s="17"/>
      <c r="ABO55" s="17"/>
      <c r="ABP55" s="17"/>
      <c r="ABQ55" s="17"/>
      <c r="ABR55" s="17"/>
      <c r="ABS55" s="17"/>
      <c r="ABT55" s="17"/>
      <c r="ABU55" s="17"/>
      <c r="ABV55" s="17"/>
      <c r="ABW55" s="17"/>
      <c r="ABX55" s="17"/>
      <c r="ABY55" s="17"/>
      <c r="ABZ55" s="17"/>
      <c r="ACA55" s="17"/>
      <c r="ACB55" s="17"/>
      <c r="ACC55" s="17"/>
      <c r="ACD55" s="17"/>
      <c r="ACE55" s="17"/>
      <c r="ACF55" s="17"/>
      <c r="ACG55" s="17"/>
      <c r="ACH55" s="17"/>
      <c r="ACI55" s="17"/>
      <c r="ACJ55" s="17"/>
      <c r="ACK55" s="17"/>
      <c r="ACL55" s="17"/>
      <c r="ACM55" s="17"/>
      <c r="ACN55" s="17"/>
      <c r="ACO55" s="17"/>
      <c r="ACP55" s="17"/>
      <c r="ACQ55" s="17"/>
      <c r="ACR55" s="17"/>
      <c r="ACS55" s="17"/>
      <c r="ACT55" s="17"/>
      <c r="ACU55" s="17"/>
      <c r="ACV55" s="17"/>
      <c r="ACW55" s="17"/>
      <c r="ACX55" s="17"/>
      <c r="ACY55" s="17"/>
      <c r="ACZ55" s="17"/>
      <c r="ADA55" s="17"/>
      <c r="ADB55" s="17"/>
      <c r="ADC55" s="17"/>
      <c r="ADD55" s="17"/>
      <c r="ADE55" s="17"/>
      <c r="ADF55" s="17"/>
      <c r="ADG55" s="17"/>
      <c r="ADH55" s="17"/>
      <c r="ADI55" s="17"/>
      <c r="ADJ55" s="17"/>
      <c r="ADK55" s="17"/>
      <c r="ADL55" s="17"/>
      <c r="ADM55" s="17"/>
      <c r="ADN55" s="17"/>
      <c r="ADO55" s="17"/>
      <c r="ADP55" s="17"/>
      <c r="ADQ55" s="17"/>
      <c r="ADR55" s="17"/>
      <c r="ADS55" s="17"/>
      <c r="ADT55" s="17"/>
      <c r="ADU55" s="17"/>
      <c r="ADV55" s="17"/>
      <c r="ADW55" s="17"/>
      <c r="ADX55" s="17"/>
      <c r="ADY55" s="17"/>
      <c r="ADZ55" s="17"/>
      <c r="AEA55" s="17"/>
      <c r="AEB55" s="17"/>
      <c r="AEC55" s="17"/>
      <c r="AED55" s="17"/>
      <c r="AEE55" s="17"/>
      <c r="AEF55" s="17"/>
      <c r="AEG55" s="17"/>
      <c r="AEH55" s="17"/>
      <c r="AEI55" s="17"/>
      <c r="AEJ55" s="17"/>
      <c r="AEK55" s="17"/>
      <c r="AEL55" s="17"/>
      <c r="AEM55" s="17"/>
      <c r="AEN55" s="17"/>
      <c r="AEO55" s="17"/>
      <c r="AEP55" s="17"/>
      <c r="AEQ55" s="17"/>
      <c r="AER55" s="17"/>
      <c r="AES55" s="17"/>
      <c r="AET55" s="17"/>
      <c r="AEU55" s="17"/>
      <c r="AEV55" s="17"/>
      <c r="AEW55" s="17"/>
      <c r="AEX55" s="17"/>
      <c r="AEY55" s="17"/>
      <c r="AEZ55" s="17"/>
      <c r="AFA55" s="17"/>
      <c r="AFB55" s="17"/>
      <c r="AFC55" s="17"/>
      <c r="AFD55" s="17"/>
      <c r="AFE55" s="17"/>
      <c r="AFF55" s="17"/>
      <c r="AFG55" s="17"/>
      <c r="AFH55" s="17"/>
      <c r="AFI55" s="17"/>
      <c r="AFJ55" s="17"/>
    </row>
    <row r="56" spans="1:842" s="162" customFormat="1" ht="15" customHeight="1" x14ac:dyDescent="0.25">
      <c r="A56" s="274" t="s">
        <v>189</v>
      </c>
      <c r="B56" s="275" t="s">
        <v>40</v>
      </c>
      <c r="C56" s="277">
        <v>125</v>
      </c>
      <c r="D56" s="348">
        <v>34.4</v>
      </c>
      <c r="E56" s="348">
        <v>7.6</v>
      </c>
      <c r="F56" s="349">
        <v>3.8</v>
      </c>
      <c r="G56" s="349">
        <v>3.5943259787234041</v>
      </c>
      <c r="H56" s="349">
        <v>3.6885712285714289</v>
      </c>
      <c r="I56" s="349">
        <v>3.6937500000000001</v>
      </c>
      <c r="J56" s="519">
        <v>152.07947019867549</v>
      </c>
      <c r="K56" s="519">
        <v>152.81578947368422</v>
      </c>
      <c r="L56" s="519">
        <v>152.1</v>
      </c>
      <c r="M56" s="519">
        <v>155.55629139072849</v>
      </c>
      <c r="N56" s="519">
        <v>157.44736842105263</v>
      </c>
      <c r="O56" s="519">
        <v>157.6</v>
      </c>
      <c r="P56" s="360">
        <v>0.21510000000000001</v>
      </c>
      <c r="Q56" s="360">
        <v>0.21049999999999999</v>
      </c>
      <c r="R56" s="360">
        <v>0.26319999999999999</v>
      </c>
      <c r="S56" s="332">
        <v>0.76800000000000002</v>
      </c>
      <c r="T56" s="332">
        <v>6.1899999999999997E-2</v>
      </c>
      <c r="U56" s="513">
        <v>8</v>
      </c>
      <c r="V56" s="408">
        <v>0.25</v>
      </c>
      <c r="W56" s="408">
        <v>0.5</v>
      </c>
      <c r="X56" s="334">
        <v>19</v>
      </c>
      <c r="Y56" s="510">
        <v>0.61290322580645162</v>
      </c>
      <c r="Z56" s="341">
        <v>5</v>
      </c>
      <c r="AA56" s="341">
        <v>13</v>
      </c>
      <c r="AB56" s="341">
        <v>6</v>
      </c>
      <c r="AC56" s="341">
        <v>24</v>
      </c>
      <c r="AD56" s="72">
        <v>29</v>
      </c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</row>
    <row r="57" spans="1:842" s="162" customFormat="1" x14ac:dyDescent="0.25">
      <c r="A57" s="274" t="s">
        <v>190</v>
      </c>
      <c r="B57" s="275" t="s">
        <v>40</v>
      </c>
      <c r="C57" s="273">
        <v>131</v>
      </c>
      <c r="D57" s="348">
        <v>17.8</v>
      </c>
      <c r="E57" s="348">
        <v>7.8</v>
      </c>
      <c r="F57" s="349">
        <v>5</v>
      </c>
      <c r="G57" s="349">
        <v>3.5232557209302326</v>
      </c>
      <c r="H57" s="349">
        <v>3.5649999999999999</v>
      </c>
      <c r="I57" s="349">
        <v>3.5882352352941176</v>
      </c>
      <c r="J57" s="519">
        <v>149.98529411764707</v>
      </c>
      <c r="K57" s="519">
        <v>151.97222222222223</v>
      </c>
      <c r="L57" s="519">
        <v>151.34782608695653</v>
      </c>
      <c r="M57" s="519">
        <v>152.73529411764707</v>
      </c>
      <c r="N57" s="519">
        <v>155.75</v>
      </c>
      <c r="O57" s="519">
        <v>156.60869565217391</v>
      </c>
      <c r="P57" s="360">
        <v>8.9899999999999994E-2</v>
      </c>
      <c r="Q57" s="360">
        <v>0.1026</v>
      </c>
      <c r="R57" s="360">
        <v>0.16</v>
      </c>
      <c r="S57" s="332">
        <v>0.90820000000000001</v>
      </c>
      <c r="T57" s="332">
        <v>0.12759999999999999</v>
      </c>
      <c r="U57" s="513">
        <v>6</v>
      </c>
      <c r="V57" s="408">
        <v>0</v>
      </c>
      <c r="W57" s="408">
        <v>1</v>
      </c>
      <c r="X57" s="334">
        <v>26</v>
      </c>
      <c r="Y57" s="510">
        <v>0.68421052631578949</v>
      </c>
      <c r="Z57" s="341">
        <v>13</v>
      </c>
      <c r="AA57" s="341">
        <v>1</v>
      </c>
      <c r="AB57" s="341">
        <v>2</v>
      </c>
      <c r="AC57" s="341">
        <v>16</v>
      </c>
      <c r="AD57" s="72">
        <v>19</v>
      </c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</row>
    <row r="58" spans="1:842" s="163" customFormat="1" x14ac:dyDescent="0.25">
      <c r="A58" s="274" t="s">
        <v>191</v>
      </c>
      <c r="B58" s="272" t="s">
        <v>43</v>
      </c>
      <c r="C58" s="273">
        <v>331</v>
      </c>
      <c r="D58" s="348">
        <v>49.8</v>
      </c>
      <c r="E58" s="348">
        <v>25.2</v>
      </c>
      <c r="F58" s="349">
        <v>10.4</v>
      </c>
      <c r="G58" s="349">
        <v>3.6164946907216495</v>
      </c>
      <c r="H58" s="349">
        <v>3.6740735679012348</v>
      </c>
      <c r="I58" s="349">
        <v>3.6512816153846153</v>
      </c>
      <c r="J58" s="519">
        <v>161.29333333333332</v>
      </c>
      <c r="K58" s="519">
        <v>161.95161290322579</v>
      </c>
      <c r="L58" s="519">
        <v>161.01818181818183</v>
      </c>
      <c r="M58" s="519">
        <v>152.18666666666667</v>
      </c>
      <c r="N58" s="519">
        <v>155.58064516129033</v>
      </c>
      <c r="O58" s="519">
        <v>155.45454545454547</v>
      </c>
      <c r="P58" s="360">
        <v>6.4299999999999996E-2</v>
      </c>
      <c r="Q58" s="360">
        <v>7.9399999999999998E-2</v>
      </c>
      <c r="R58" s="360">
        <v>9.6199999999999994E-2</v>
      </c>
      <c r="S58" s="332">
        <v>0.14119999999999999</v>
      </c>
      <c r="T58" s="332">
        <v>0.25490000000000002</v>
      </c>
      <c r="U58" s="513">
        <v>8</v>
      </c>
      <c r="V58" s="408">
        <v>0</v>
      </c>
      <c r="W58" s="408">
        <v>0.8</v>
      </c>
      <c r="X58" s="334">
        <v>32</v>
      </c>
      <c r="Y58" s="510">
        <v>0.8</v>
      </c>
      <c r="Z58" s="341">
        <v>0</v>
      </c>
      <c r="AA58" s="341">
        <v>5</v>
      </c>
      <c r="AB58" s="341">
        <v>2</v>
      </c>
      <c r="AC58" s="341">
        <v>7</v>
      </c>
      <c r="AD58" s="72">
        <v>34</v>
      </c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</row>
    <row r="59" spans="1:842" s="163" customFormat="1" x14ac:dyDescent="0.25">
      <c r="A59" s="274" t="s">
        <v>192</v>
      </c>
      <c r="B59" s="272" t="s">
        <v>43</v>
      </c>
      <c r="C59" s="273">
        <v>96</v>
      </c>
      <c r="D59" s="348">
        <v>237.4</v>
      </c>
      <c r="E59" s="348">
        <v>86.6</v>
      </c>
      <c r="F59" s="349">
        <v>26.2</v>
      </c>
      <c r="G59" s="349">
        <v>3.5834529424460433</v>
      </c>
      <c r="H59" s="349">
        <v>3.6243240450450447</v>
      </c>
      <c r="I59" s="349">
        <v>3.5999995666666669</v>
      </c>
      <c r="J59" s="519">
        <v>162.8296224588577</v>
      </c>
      <c r="K59" s="519">
        <v>163</v>
      </c>
      <c r="L59" s="519">
        <v>161.06818181818181</v>
      </c>
      <c r="M59" s="519">
        <v>151.12294288480155</v>
      </c>
      <c r="N59" s="519">
        <v>153.21596244131456</v>
      </c>
      <c r="O59" s="519">
        <v>152.32575757575756</v>
      </c>
      <c r="P59" s="360">
        <v>2.3699999999999999E-2</v>
      </c>
      <c r="Q59" s="360">
        <v>4.8500000000000001E-2</v>
      </c>
      <c r="R59" s="360">
        <v>7.6300000000000007E-2</v>
      </c>
      <c r="S59" s="332">
        <v>0.1145</v>
      </c>
      <c r="T59" s="332">
        <v>0.5121</v>
      </c>
      <c r="U59" s="513">
        <v>12</v>
      </c>
      <c r="V59" s="408">
        <v>0.375</v>
      </c>
      <c r="W59" s="408">
        <v>0.625</v>
      </c>
      <c r="X59" s="334">
        <v>126</v>
      </c>
      <c r="Y59" s="510">
        <v>0.80254777070063699</v>
      </c>
      <c r="Z59" s="341">
        <v>2</v>
      </c>
      <c r="AA59" s="341">
        <v>11</v>
      </c>
      <c r="AB59" s="341">
        <v>8</v>
      </c>
      <c r="AC59" s="341">
        <v>21</v>
      </c>
      <c r="AD59" s="72">
        <v>127</v>
      </c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</row>
    <row r="60" spans="1:842" s="112" customFormat="1" ht="15.75" customHeight="1" x14ac:dyDescent="0.25">
      <c r="A60" s="271" t="s">
        <v>50</v>
      </c>
      <c r="B60" s="272" t="s">
        <v>43</v>
      </c>
      <c r="C60" s="273">
        <v>345</v>
      </c>
      <c r="D60" s="348">
        <v>86.4</v>
      </c>
      <c r="E60" s="348">
        <v>14.8</v>
      </c>
      <c r="F60" s="349">
        <v>8.4</v>
      </c>
      <c r="G60" s="349">
        <v>3.4333327908496734</v>
      </c>
      <c r="H60" s="349">
        <v>3.5439996800000002</v>
      </c>
      <c r="I60" s="349">
        <v>3.4363635000000001</v>
      </c>
      <c r="J60" s="519">
        <v>161.40409207161125</v>
      </c>
      <c r="K60" s="519">
        <v>161.73529411764707</v>
      </c>
      <c r="L60" s="519">
        <v>160.78947368421052</v>
      </c>
      <c r="M60" s="519">
        <v>153.69309462915601</v>
      </c>
      <c r="N60" s="519">
        <v>156.52941176470588</v>
      </c>
      <c r="O60" s="519">
        <v>152.76315789473685</v>
      </c>
      <c r="P60" s="360">
        <v>6.25E-2</v>
      </c>
      <c r="Q60" s="360">
        <v>9.4600000000000004E-2</v>
      </c>
      <c r="R60" s="360">
        <v>2.3800000000000002E-2</v>
      </c>
      <c r="S60" s="332">
        <v>0.4224</v>
      </c>
      <c r="T60" s="332">
        <v>0.37930000000000003</v>
      </c>
      <c r="U60" s="513">
        <v>9</v>
      </c>
      <c r="V60" s="410">
        <v>0.6</v>
      </c>
      <c r="W60" s="410">
        <v>0.2</v>
      </c>
      <c r="X60" s="334">
        <v>62</v>
      </c>
      <c r="Y60" s="510">
        <v>0.87323943661971826</v>
      </c>
      <c r="Z60" s="341">
        <v>4</v>
      </c>
      <c r="AA60" s="341">
        <v>14</v>
      </c>
      <c r="AB60" s="341">
        <v>16</v>
      </c>
      <c r="AC60" s="341">
        <v>34</v>
      </c>
      <c r="AD60" s="72">
        <v>58</v>
      </c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</row>
    <row r="61" spans="1:842" s="112" customFormat="1" ht="15.75" customHeight="1" x14ac:dyDescent="0.25">
      <c r="A61" s="271" t="s">
        <v>42</v>
      </c>
      <c r="B61" s="272" t="s">
        <v>43</v>
      </c>
      <c r="C61" s="273">
        <v>349</v>
      </c>
      <c r="D61" s="348">
        <v>198.2</v>
      </c>
      <c r="E61" s="348">
        <v>19</v>
      </c>
      <c r="F61" s="349">
        <v>10.4</v>
      </c>
      <c r="G61" s="349">
        <v>3.4517236896551728</v>
      </c>
      <c r="H61" s="349">
        <v>3.5384613461538459</v>
      </c>
      <c r="I61" s="349">
        <v>3.4566661999999999</v>
      </c>
      <c r="J61" s="519">
        <v>162.08284023668639</v>
      </c>
      <c r="K61" s="519">
        <v>162.31521739130434</v>
      </c>
      <c r="L61" s="519">
        <v>161.4814814814815</v>
      </c>
      <c r="M61" s="519">
        <v>152.71715976331362</v>
      </c>
      <c r="N61" s="519">
        <v>156</v>
      </c>
      <c r="O61" s="519">
        <v>154.18518518518519</v>
      </c>
      <c r="P61" s="360">
        <v>3.0300000000000001E-2</v>
      </c>
      <c r="Q61" s="360">
        <v>9.4700000000000006E-2</v>
      </c>
      <c r="R61" s="360">
        <v>9.6199999999999994E-2</v>
      </c>
      <c r="S61" s="332">
        <v>0.1953</v>
      </c>
      <c r="T61" s="332">
        <v>0.50729999999999997</v>
      </c>
      <c r="U61" s="513">
        <v>6</v>
      </c>
      <c r="V61" s="410">
        <v>0.4</v>
      </c>
      <c r="W61" s="410">
        <v>0.6</v>
      </c>
      <c r="X61" s="334">
        <v>62</v>
      </c>
      <c r="Y61" s="510">
        <v>0.89855072463768115</v>
      </c>
      <c r="Z61" s="341">
        <v>2</v>
      </c>
      <c r="AA61" s="341">
        <v>36</v>
      </c>
      <c r="AB61" s="341">
        <v>15</v>
      </c>
      <c r="AC61" s="341">
        <v>53</v>
      </c>
      <c r="AD61" s="72">
        <v>69</v>
      </c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</row>
    <row r="62" spans="1:842" s="112" customFormat="1" ht="15.75" customHeight="1" x14ac:dyDescent="0.25">
      <c r="A62" s="278" t="s">
        <v>193</v>
      </c>
      <c r="B62" s="272" t="s">
        <v>43</v>
      </c>
      <c r="C62" s="273">
        <v>351</v>
      </c>
      <c r="D62" s="348">
        <v>135.19999999999999</v>
      </c>
      <c r="E62" s="348">
        <v>48.6</v>
      </c>
      <c r="F62" s="349">
        <v>11.6</v>
      </c>
      <c r="G62" s="349">
        <v>3.5716664666666671</v>
      </c>
      <c r="H62" s="349">
        <v>3.5824998250000002</v>
      </c>
      <c r="I62" s="349">
        <v>3.4947368421052634</v>
      </c>
      <c r="J62" s="519">
        <v>162.06210191082803</v>
      </c>
      <c r="K62" s="519">
        <v>162.11618257261412</v>
      </c>
      <c r="L62" s="519">
        <v>159.5344827586207</v>
      </c>
      <c r="M62" s="519">
        <v>149.73248407643311</v>
      </c>
      <c r="N62" s="519">
        <v>151.98755186721991</v>
      </c>
      <c r="O62" s="519">
        <v>151.86206896551724</v>
      </c>
      <c r="P62" s="360">
        <v>2.9600000000000001E-2</v>
      </c>
      <c r="Q62" s="360">
        <v>5.3499999999999999E-2</v>
      </c>
      <c r="R62" s="360">
        <v>0.1552</v>
      </c>
      <c r="S62" s="332">
        <v>0.15459999999999999</v>
      </c>
      <c r="T62" s="332">
        <v>0.56189999999999996</v>
      </c>
      <c r="U62" s="513">
        <v>6</v>
      </c>
      <c r="V62" s="408">
        <v>0.75</v>
      </c>
      <c r="W62" s="408">
        <v>0</v>
      </c>
      <c r="X62" s="334">
        <v>56</v>
      </c>
      <c r="Y62" s="510">
        <v>0.81159420289855078</v>
      </c>
      <c r="Z62" s="341">
        <v>18</v>
      </c>
      <c r="AA62" s="341">
        <v>15</v>
      </c>
      <c r="AB62" s="341">
        <v>16</v>
      </c>
      <c r="AC62" s="341">
        <v>49</v>
      </c>
      <c r="AD62" s="72">
        <v>75</v>
      </c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  <c r="QK62" s="17"/>
      <c r="QL62" s="17"/>
      <c r="QM62" s="17"/>
      <c r="QN62" s="17"/>
      <c r="QO62" s="17"/>
      <c r="QP62" s="17"/>
      <c r="QQ62" s="17"/>
      <c r="QR62" s="17"/>
      <c r="QS62" s="17"/>
      <c r="QT62" s="17"/>
      <c r="QU62" s="17"/>
      <c r="QV62" s="17"/>
      <c r="QW62" s="17"/>
      <c r="QX62" s="17"/>
      <c r="QY62" s="17"/>
      <c r="QZ62" s="17"/>
      <c r="RA62" s="17"/>
      <c r="RB62" s="17"/>
      <c r="RC62" s="17"/>
      <c r="RD62" s="17"/>
      <c r="RE62" s="17"/>
      <c r="RF62" s="17"/>
      <c r="RG62" s="17"/>
      <c r="RH62" s="17"/>
      <c r="RI62" s="17"/>
      <c r="RJ62" s="17"/>
      <c r="RK62" s="17"/>
      <c r="RL62" s="17"/>
      <c r="RM62" s="17"/>
      <c r="RN62" s="17"/>
      <c r="RO62" s="17"/>
      <c r="RP62" s="17"/>
      <c r="RQ62" s="17"/>
      <c r="RR62" s="17"/>
      <c r="RS62" s="17"/>
      <c r="RT62" s="17"/>
      <c r="RU62" s="17"/>
      <c r="RV62" s="17"/>
      <c r="RW62" s="17"/>
      <c r="RX62" s="17"/>
      <c r="RY62" s="17"/>
      <c r="RZ62" s="17"/>
      <c r="SA62" s="17"/>
      <c r="SB62" s="17"/>
      <c r="SC62" s="17"/>
      <c r="SD62" s="17"/>
      <c r="SE62" s="17"/>
      <c r="SF62" s="17"/>
      <c r="SG62" s="17"/>
      <c r="SH62" s="17"/>
      <c r="SI62" s="17"/>
      <c r="SJ62" s="17"/>
      <c r="SK62" s="17"/>
      <c r="SL62" s="17"/>
      <c r="SM62" s="17"/>
      <c r="SN62" s="17"/>
      <c r="SO62" s="17"/>
      <c r="SP62" s="17"/>
      <c r="SQ62" s="17"/>
      <c r="SR62" s="17"/>
      <c r="SS62" s="17"/>
      <c r="ST62" s="17"/>
      <c r="SU62" s="17"/>
      <c r="SV62" s="17"/>
      <c r="SW62" s="17"/>
      <c r="SX62" s="17"/>
      <c r="SY62" s="17"/>
      <c r="SZ62" s="17"/>
      <c r="TA62" s="17"/>
      <c r="TB62" s="17"/>
      <c r="TC62" s="17"/>
      <c r="TD62" s="17"/>
      <c r="TE62" s="17"/>
      <c r="TF62" s="17"/>
      <c r="TG62" s="17"/>
      <c r="TH62" s="17"/>
      <c r="TI62" s="17"/>
      <c r="TJ62" s="17"/>
      <c r="TK62" s="17"/>
      <c r="TL62" s="17"/>
      <c r="TM62" s="17"/>
      <c r="TN62" s="17"/>
      <c r="TO62" s="17"/>
      <c r="TP62" s="17"/>
      <c r="TQ62" s="17"/>
      <c r="TR62" s="17"/>
      <c r="TS62" s="17"/>
      <c r="TT62" s="17"/>
      <c r="TU62" s="17"/>
      <c r="TV62" s="17"/>
      <c r="TW62" s="17"/>
      <c r="TX62" s="17"/>
      <c r="TY62" s="17"/>
      <c r="TZ62" s="17"/>
      <c r="UA62" s="17"/>
      <c r="UB62" s="17"/>
      <c r="UC62" s="17"/>
      <c r="UD62" s="17"/>
      <c r="UE62" s="17"/>
      <c r="UF62" s="17"/>
      <c r="UG62" s="17"/>
      <c r="UH62" s="17"/>
      <c r="UI62" s="17"/>
      <c r="UJ62" s="17"/>
      <c r="UK62" s="17"/>
      <c r="UL62" s="17"/>
      <c r="UM62" s="17"/>
      <c r="UN62" s="17"/>
      <c r="UO62" s="17"/>
      <c r="UP62" s="17"/>
      <c r="UQ62" s="17"/>
      <c r="UR62" s="17"/>
      <c r="US62" s="17"/>
      <c r="UT62" s="17"/>
      <c r="UU62" s="17"/>
      <c r="UV62" s="17"/>
      <c r="UW62" s="17"/>
      <c r="UX62" s="17"/>
      <c r="UY62" s="17"/>
      <c r="UZ62" s="17"/>
      <c r="VA62" s="17"/>
      <c r="VB62" s="17"/>
      <c r="VC62" s="17"/>
      <c r="VD62" s="17"/>
      <c r="VE62" s="17"/>
      <c r="VF62" s="17"/>
      <c r="VG62" s="17"/>
      <c r="VH62" s="17"/>
      <c r="VI62" s="17"/>
      <c r="VJ62" s="17"/>
      <c r="VK62" s="17"/>
      <c r="VL62" s="17"/>
      <c r="VM62" s="17"/>
      <c r="VN62" s="17"/>
      <c r="VO62" s="17"/>
      <c r="VP62" s="17"/>
      <c r="VQ62" s="17"/>
      <c r="VR62" s="17"/>
      <c r="VS62" s="17"/>
      <c r="VT62" s="17"/>
      <c r="VU62" s="17"/>
      <c r="VV62" s="17"/>
      <c r="VW62" s="17"/>
      <c r="VX62" s="17"/>
      <c r="VY62" s="17"/>
      <c r="VZ62" s="17"/>
      <c r="WA62" s="17"/>
      <c r="WB62" s="17"/>
      <c r="WC62" s="17"/>
      <c r="WD62" s="17"/>
      <c r="WE62" s="17"/>
      <c r="WF62" s="17"/>
      <c r="WG62" s="17"/>
      <c r="WH62" s="17"/>
      <c r="WI62" s="17"/>
      <c r="WJ62" s="17"/>
      <c r="WK62" s="17"/>
      <c r="WL62" s="17"/>
      <c r="WM62" s="17"/>
      <c r="WN62" s="17"/>
      <c r="WO62" s="17"/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  <c r="XW62" s="17"/>
      <c r="XX62" s="17"/>
      <c r="XY62" s="17"/>
      <c r="XZ62" s="17"/>
      <c r="YA62" s="17"/>
      <c r="YB62" s="17"/>
      <c r="YC62" s="17"/>
      <c r="YD62" s="17"/>
      <c r="YE62" s="17"/>
      <c r="YF62" s="17"/>
      <c r="YG62" s="17"/>
      <c r="YH62" s="17"/>
      <c r="YI62" s="17"/>
      <c r="YJ62" s="17"/>
      <c r="YK62" s="17"/>
      <c r="YL62" s="17"/>
      <c r="YM62" s="17"/>
      <c r="YN62" s="17"/>
      <c r="YO62" s="17"/>
      <c r="YP62" s="17"/>
      <c r="YQ62" s="17"/>
      <c r="YR62" s="17"/>
      <c r="YS62" s="17"/>
      <c r="YT62" s="17"/>
      <c r="YU62" s="17"/>
      <c r="YV62" s="17"/>
      <c r="YW62" s="17"/>
      <c r="YX62" s="17"/>
      <c r="YY62" s="17"/>
      <c r="YZ62" s="17"/>
      <c r="ZA62" s="17"/>
      <c r="ZB62" s="17"/>
      <c r="ZC62" s="17"/>
      <c r="ZD62" s="17"/>
      <c r="ZE62" s="17"/>
      <c r="ZF62" s="17"/>
      <c r="ZG62" s="17"/>
      <c r="ZH62" s="17"/>
      <c r="ZI62" s="17"/>
      <c r="ZJ62" s="17"/>
      <c r="ZK62" s="17"/>
      <c r="ZL62" s="17"/>
      <c r="ZM62" s="17"/>
      <c r="ZN62" s="17"/>
      <c r="ZO62" s="17"/>
      <c r="ZP62" s="17"/>
      <c r="ZQ62" s="17"/>
      <c r="ZR62" s="17"/>
      <c r="ZS62" s="17"/>
      <c r="ZT62" s="17"/>
      <c r="ZU62" s="17"/>
      <c r="ZV62" s="17"/>
      <c r="ZW62" s="17"/>
      <c r="ZX62" s="17"/>
      <c r="ZY62" s="17"/>
      <c r="ZZ62" s="17"/>
      <c r="AAA62" s="17"/>
      <c r="AAB62" s="17"/>
      <c r="AAC62" s="17"/>
      <c r="AAD62" s="17"/>
      <c r="AAE62" s="17"/>
      <c r="AAF62" s="17"/>
      <c r="AAG62" s="17"/>
      <c r="AAH62" s="17"/>
      <c r="AAI62" s="17"/>
      <c r="AAJ62" s="17"/>
      <c r="AAK62" s="17"/>
      <c r="AAL62" s="17"/>
      <c r="AAM62" s="17"/>
      <c r="AAN62" s="17"/>
      <c r="AAO62" s="17"/>
      <c r="AAP62" s="17"/>
      <c r="AAQ62" s="17"/>
      <c r="AAR62" s="17"/>
      <c r="AAS62" s="17"/>
      <c r="AAT62" s="17"/>
      <c r="AAU62" s="17"/>
      <c r="AAV62" s="17"/>
      <c r="AAW62" s="17"/>
      <c r="AAX62" s="17"/>
      <c r="AAY62" s="17"/>
      <c r="AAZ62" s="17"/>
      <c r="ABA62" s="17"/>
      <c r="ABB62" s="17"/>
      <c r="ABC62" s="17"/>
      <c r="ABD62" s="17"/>
      <c r="ABE62" s="17"/>
      <c r="ABF62" s="17"/>
      <c r="ABG62" s="17"/>
      <c r="ABH62" s="17"/>
      <c r="ABI62" s="17"/>
      <c r="ABJ62" s="17"/>
      <c r="ABK62" s="17"/>
      <c r="ABL62" s="17"/>
      <c r="ABM62" s="17"/>
      <c r="ABN62" s="17"/>
      <c r="ABO62" s="17"/>
      <c r="ABP62" s="17"/>
      <c r="ABQ62" s="17"/>
      <c r="ABR62" s="17"/>
      <c r="ABS62" s="17"/>
      <c r="ABT62" s="17"/>
      <c r="ABU62" s="17"/>
      <c r="ABV62" s="17"/>
      <c r="ABW62" s="17"/>
      <c r="ABX62" s="17"/>
      <c r="ABY62" s="17"/>
      <c r="ABZ62" s="17"/>
      <c r="ACA62" s="17"/>
      <c r="ACB62" s="17"/>
      <c r="ACC62" s="17"/>
      <c r="ACD62" s="17"/>
      <c r="ACE62" s="17"/>
      <c r="ACF62" s="17"/>
      <c r="ACG62" s="17"/>
      <c r="ACH62" s="17"/>
      <c r="ACI62" s="17"/>
      <c r="ACJ62" s="17"/>
      <c r="ACK62" s="17"/>
      <c r="ACL62" s="17"/>
      <c r="ACM62" s="17"/>
      <c r="ACN62" s="17"/>
      <c r="ACO62" s="17"/>
      <c r="ACP62" s="17"/>
      <c r="ACQ62" s="17"/>
      <c r="ACR62" s="17"/>
      <c r="ACS62" s="17"/>
      <c r="ACT62" s="17"/>
      <c r="ACU62" s="17"/>
      <c r="ACV62" s="17"/>
      <c r="ACW62" s="17"/>
      <c r="ACX62" s="17"/>
      <c r="ACY62" s="17"/>
      <c r="ACZ62" s="17"/>
      <c r="ADA62" s="17"/>
      <c r="ADB62" s="17"/>
      <c r="ADC62" s="17"/>
      <c r="ADD62" s="17"/>
      <c r="ADE62" s="17"/>
      <c r="ADF62" s="17"/>
      <c r="ADG62" s="17"/>
      <c r="ADH62" s="17"/>
      <c r="ADI62" s="17"/>
      <c r="ADJ62" s="17"/>
      <c r="ADK62" s="17"/>
      <c r="ADL62" s="17"/>
      <c r="ADM62" s="17"/>
      <c r="ADN62" s="17"/>
      <c r="ADO62" s="17"/>
      <c r="ADP62" s="17"/>
      <c r="ADQ62" s="17"/>
      <c r="ADR62" s="17"/>
      <c r="ADS62" s="17"/>
      <c r="ADT62" s="17"/>
      <c r="ADU62" s="17"/>
      <c r="ADV62" s="17"/>
      <c r="ADW62" s="17"/>
      <c r="ADX62" s="17"/>
      <c r="ADY62" s="17"/>
      <c r="ADZ62" s="17"/>
      <c r="AEA62" s="17"/>
      <c r="AEB62" s="17"/>
      <c r="AEC62" s="17"/>
      <c r="AED62" s="17"/>
      <c r="AEE62" s="17"/>
      <c r="AEF62" s="17"/>
      <c r="AEG62" s="17"/>
      <c r="AEH62" s="17"/>
      <c r="AEI62" s="17"/>
      <c r="AEJ62" s="17"/>
      <c r="AEK62" s="17"/>
      <c r="AEL62" s="17"/>
      <c r="AEM62" s="17"/>
      <c r="AEN62" s="17"/>
      <c r="AEO62" s="17"/>
      <c r="AEP62" s="17"/>
      <c r="AEQ62" s="17"/>
      <c r="AER62" s="17"/>
      <c r="AES62" s="17"/>
      <c r="AET62" s="17"/>
      <c r="AEU62" s="17"/>
      <c r="AEV62" s="17"/>
      <c r="AEW62" s="17"/>
      <c r="AEX62" s="17"/>
      <c r="AEY62" s="17"/>
      <c r="AEZ62" s="17"/>
      <c r="AFA62" s="17"/>
      <c r="AFB62" s="17"/>
      <c r="AFC62" s="17"/>
      <c r="AFD62" s="17"/>
      <c r="AFE62" s="17"/>
      <c r="AFF62" s="17"/>
      <c r="AFG62" s="17"/>
      <c r="AFH62" s="17"/>
      <c r="AFI62" s="17"/>
      <c r="AFJ62" s="17"/>
    </row>
    <row r="63" spans="1:842" s="112" customFormat="1" ht="15.75" customHeight="1" x14ac:dyDescent="0.25">
      <c r="A63" s="278" t="s">
        <v>194</v>
      </c>
      <c r="B63" s="272" t="s">
        <v>43</v>
      </c>
      <c r="C63" s="273">
        <v>42</v>
      </c>
      <c r="D63" s="348">
        <v>19.399999999999999</v>
      </c>
      <c r="E63" s="348">
        <v>10.4</v>
      </c>
      <c r="F63" s="349">
        <v>2.8</v>
      </c>
      <c r="G63" s="349">
        <v>3.5799999333333332</v>
      </c>
      <c r="H63" s="349">
        <v>3.6181818181818177</v>
      </c>
      <c r="I63" s="349">
        <v>3.7600000000000002</v>
      </c>
      <c r="J63" s="519">
        <v>162.30526315789473</v>
      </c>
      <c r="K63" s="519">
        <v>162.32692307692307</v>
      </c>
      <c r="L63" s="519">
        <v>162.07142857142858</v>
      </c>
      <c r="M63" s="519">
        <v>149.50526315789475</v>
      </c>
      <c r="N63" s="519">
        <v>151.23076923076923</v>
      </c>
      <c r="O63" s="519">
        <v>151.07142857142858</v>
      </c>
      <c r="P63" s="360">
        <v>1.03E-2</v>
      </c>
      <c r="Q63" s="360">
        <v>1.9199999999999998E-2</v>
      </c>
      <c r="R63" s="360">
        <v>7.1400000000000005E-2</v>
      </c>
      <c r="S63" s="332">
        <v>0.34179999999999999</v>
      </c>
      <c r="T63" s="332">
        <v>0.48099999999999998</v>
      </c>
      <c r="U63" s="513">
        <v>1</v>
      </c>
      <c r="V63" s="408">
        <v>0</v>
      </c>
      <c r="W63" s="408">
        <v>0</v>
      </c>
      <c r="X63" s="334">
        <v>9</v>
      </c>
      <c r="Y63" s="510">
        <v>0.6428571428571429</v>
      </c>
      <c r="Z63" s="341">
        <v>2</v>
      </c>
      <c r="AA63" s="341">
        <v>6</v>
      </c>
      <c r="AB63" s="341">
        <v>5</v>
      </c>
      <c r="AC63" s="341">
        <v>13</v>
      </c>
      <c r="AD63" s="72">
        <v>18</v>
      </c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  <c r="IW63" s="17"/>
      <c r="IX63" s="17"/>
      <c r="IY63" s="17"/>
      <c r="IZ63" s="17"/>
      <c r="JA63" s="17"/>
      <c r="JB63" s="17"/>
      <c r="JC63" s="17"/>
      <c r="JD63" s="17"/>
      <c r="JE63" s="17"/>
      <c r="JF63" s="17"/>
      <c r="JG63" s="17"/>
      <c r="JH63" s="17"/>
      <c r="JI63" s="17"/>
      <c r="JJ63" s="17"/>
      <c r="JK63" s="17"/>
      <c r="JL63" s="17"/>
      <c r="JM63" s="17"/>
      <c r="JN63" s="17"/>
      <c r="JO63" s="17"/>
      <c r="JP63" s="17"/>
      <c r="JQ63" s="17"/>
      <c r="JR63" s="17"/>
      <c r="JS63" s="17"/>
      <c r="JT63" s="17"/>
      <c r="JU63" s="17"/>
      <c r="JV63" s="17"/>
      <c r="JW63" s="17"/>
      <c r="JX63" s="17"/>
      <c r="JY63" s="17"/>
      <c r="JZ63" s="17"/>
      <c r="KA63" s="17"/>
      <c r="KB63" s="17"/>
      <c r="KC63" s="17"/>
      <c r="KD63" s="17"/>
      <c r="KE63" s="17"/>
      <c r="KF63" s="17"/>
      <c r="KG63" s="17"/>
      <c r="KH63" s="17"/>
      <c r="KI63" s="17"/>
      <c r="KJ63" s="17"/>
      <c r="KK63" s="17"/>
      <c r="KL63" s="17"/>
      <c r="KM63" s="17"/>
      <c r="KN63" s="17"/>
      <c r="KO63" s="17"/>
      <c r="KP63" s="17"/>
      <c r="KQ63" s="17"/>
      <c r="KR63" s="17"/>
      <c r="KS63" s="17"/>
      <c r="KT63" s="17"/>
      <c r="KU63" s="17"/>
      <c r="KV63" s="17"/>
      <c r="KW63" s="17"/>
      <c r="KX63" s="17"/>
      <c r="KY63" s="17"/>
      <c r="KZ63" s="17"/>
      <c r="LA63" s="17"/>
      <c r="LB63" s="17"/>
      <c r="LC63" s="17"/>
      <c r="LD63" s="17"/>
      <c r="LE63" s="17"/>
      <c r="LF63" s="17"/>
      <c r="LG63" s="17"/>
      <c r="LH63" s="17"/>
      <c r="LI63" s="17"/>
      <c r="LJ63" s="17"/>
      <c r="LK63" s="17"/>
      <c r="LL63" s="17"/>
      <c r="LM63" s="17"/>
      <c r="LN63" s="17"/>
      <c r="LO63" s="17"/>
      <c r="LP63" s="17"/>
      <c r="LQ63" s="17"/>
      <c r="LR63" s="17"/>
      <c r="LS63" s="17"/>
      <c r="LT63" s="17"/>
      <c r="LU63" s="17"/>
      <c r="LV63" s="17"/>
      <c r="LW63" s="17"/>
      <c r="LX63" s="17"/>
      <c r="LY63" s="17"/>
      <c r="LZ63" s="17"/>
      <c r="MA63" s="17"/>
      <c r="MB63" s="17"/>
      <c r="MC63" s="17"/>
      <c r="MD63" s="17"/>
      <c r="ME63" s="17"/>
      <c r="MF63" s="17"/>
      <c r="MG63" s="17"/>
      <c r="MH63" s="17"/>
      <c r="MI63" s="17"/>
      <c r="MJ63" s="17"/>
      <c r="MK63" s="17"/>
      <c r="ML63" s="17"/>
      <c r="MM63" s="17"/>
      <c r="MN63" s="17"/>
      <c r="MO63" s="17"/>
      <c r="MP63" s="17"/>
      <c r="MQ63" s="17"/>
      <c r="MR63" s="17"/>
      <c r="MS63" s="17"/>
      <c r="MT63" s="17"/>
      <c r="MU63" s="17"/>
      <c r="MV63" s="17"/>
      <c r="MW63" s="17"/>
      <c r="MX63" s="17"/>
      <c r="MY63" s="17"/>
      <c r="MZ63" s="17"/>
      <c r="NA63" s="17"/>
      <c r="NB63" s="17"/>
      <c r="NC63" s="17"/>
      <c r="ND63" s="17"/>
      <c r="NE63" s="17"/>
      <c r="NF63" s="17"/>
      <c r="NG63" s="17"/>
      <c r="NH63" s="17"/>
      <c r="NI63" s="17"/>
      <c r="NJ63" s="17"/>
      <c r="NK63" s="17"/>
      <c r="NL63" s="17"/>
      <c r="NM63" s="17"/>
      <c r="NN63" s="17"/>
      <c r="NO63" s="17"/>
      <c r="NP63" s="17"/>
      <c r="NQ63" s="17"/>
      <c r="NR63" s="17"/>
      <c r="NS63" s="17"/>
      <c r="NT63" s="17"/>
      <c r="NU63" s="17"/>
      <c r="NV63" s="17"/>
      <c r="NW63" s="17"/>
      <c r="NX63" s="17"/>
      <c r="NY63" s="17"/>
      <c r="NZ63" s="17"/>
      <c r="OA63" s="17"/>
      <c r="OB63" s="17"/>
      <c r="OC63" s="17"/>
      <c r="OD63" s="17"/>
      <c r="OE63" s="17"/>
      <c r="OF63" s="17"/>
      <c r="OG63" s="17"/>
      <c r="OH63" s="17"/>
      <c r="OI63" s="17"/>
      <c r="OJ63" s="17"/>
      <c r="OK63" s="17"/>
      <c r="OL63" s="17"/>
      <c r="OM63" s="17"/>
      <c r="ON63" s="17"/>
      <c r="OO63" s="17"/>
      <c r="OP63" s="17"/>
      <c r="OQ63" s="17"/>
      <c r="OR63" s="17"/>
      <c r="OS63" s="17"/>
      <c r="OT63" s="17"/>
      <c r="OU63" s="17"/>
      <c r="OV63" s="17"/>
      <c r="OW63" s="17"/>
      <c r="OX63" s="17"/>
      <c r="OY63" s="17"/>
      <c r="OZ63" s="17"/>
      <c r="PA63" s="17"/>
      <c r="PB63" s="17"/>
      <c r="PC63" s="17"/>
      <c r="PD63" s="17"/>
      <c r="PE63" s="17"/>
      <c r="PF63" s="17"/>
      <c r="PG63" s="17"/>
      <c r="PH63" s="17"/>
      <c r="PI63" s="17"/>
      <c r="PJ63" s="17"/>
      <c r="PK63" s="17"/>
      <c r="PL63" s="17"/>
      <c r="PM63" s="17"/>
      <c r="PN63" s="17"/>
      <c r="PO63" s="17"/>
      <c r="PP63" s="17"/>
      <c r="PQ63" s="17"/>
      <c r="PR63" s="17"/>
      <c r="PS63" s="17"/>
      <c r="PT63" s="17"/>
      <c r="PU63" s="17"/>
      <c r="PV63" s="17"/>
      <c r="PW63" s="17"/>
      <c r="PX63" s="17"/>
      <c r="PY63" s="17"/>
      <c r="PZ63" s="17"/>
      <c r="QA63" s="17"/>
      <c r="QB63" s="17"/>
      <c r="QC63" s="17"/>
      <c r="QD63" s="17"/>
      <c r="QE63" s="17"/>
      <c r="QF63" s="17"/>
      <c r="QG63" s="17"/>
      <c r="QH63" s="17"/>
      <c r="QI63" s="17"/>
      <c r="QJ63" s="17"/>
      <c r="QK63" s="17"/>
      <c r="QL63" s="17"/>
      <c r="QM63" s="17"/>
      <c r="QN63" s="17"/>
      <c r="QO63" s="17"/>
      <c r="QP63" s="17"/>
      <c r="QQ63" s="17"/>
      <c r="QR63" s="17"/>
      <c r="QS63" s="17"/>
      <c r="QT63" s="17"/>
      <c r="QU63" s="17"/>
      <c r="QV63" s="17"/>
      <c r="QW63" s="17"/>
      <c r="QX63" s="17"/>
      <c r="QY63" s="17"/>
      <c r="QZ63" s="17"/>
      <c r="RA63" s="17"/>
      <c r="RB63" s="17"/>
      <c r="RC63" s="17"/>
      <c r="RD63" s="17"/>
      <c r="RE63" s="17"/>
      <c r="RF63" s="17"/>
      <c r="RG63" s="17"/>
      <c r="RH63" s="17"/>
      <c r="RI63" s="17"/>
      <c r="RJ63" s="17"/>
      <c r="RK63" s="17"/>
      <c r="RL63" s="17"/>
      <c r="RM63" s="17"/>
      <c r="RN63" s="17"/>
      <c r="RO63" s="17"/>
      <c r="RP63" s="17"/>
      <c r="RQ63" s="17"/>
      <c r="RR63" s="17"/>
      <c r="RS63" s="17"/>
      <c r="RT63" s="17"/>
      <c r="RU63" s="17"/>
      <c r="RV63" s="17"/>
      <c r="RW63" s="17"/>
      <c r="RX63" s="17"/>
      <c r="RY63" s="17"/>
      <c r="RZ63" s="17"/>
      <c r="SA63" s="17"/>
      <c r="SB63" s="17"/>
      <c r="SC63" s="17"/>
      <c r="SD63" s="17"/>
      <c r="SE63" s="17"/>
      <c r="SF63" s="17"/>
      <c r="SG63" s="17"/>
      <c r="SH63" s="17"/>
      <c r="SI63" s="17"/>
      <c r="SJ63" s="17"/>
      <c r="SK63" s="17"/>
      <c r="SL63" s="17"/>
      <c r="SM63" s="17"/>
      <c r="SN63" s="17"/>
      <c r="SO63" s="17"/>
      <c r="SP63" s="17"/>
      <c r="SQ63" s="17"/>
      <c r="SR63" s="17"/>
      <c r="SS63" s="17"/>
      <c r="ST63" s="17"/>
      <c r="SU63" s="17"/>
      <c r="SV63" s="17"/>
      <c r="SW63" s="17"/>
      <c r="SX63" s="17"/>
      <c r="SY63" s="17"/>
      <c r="SZ63" s="17"/>
      <c r="TA63" s="17"/>
      <c r="TB63" s="17"/>
      <c r="TC63" s="17"/>
      <c r="TD63" s="17"/>
      <c r="TE63" s="17"/>
      <c r="TF63" s="17"/>
      <c r="TG63" s="17"/>
      <c r="TH63" s="17"/>
      <c r="TI63" s="17"/>
      <c r="TJ63" s="17"/>
      <c r="TK63" s="17"/>
      <c r="TL63" s="17"/>
      <c r="TM63" s="17"/>
      <c r="TN63" s="17"/>
      <c r="TO63" s="17"/>
      <c r="TP63" s="17"/>
      <c r="TQ63" s="17"/>
      <c r="TR63" s="17"/>
      <c r="TS63" s="17"/>
      <c r="TT63" s="17"/>
      <c r="TU63" s="17"/>
      <c r="TV63" s="17"/>
      <c r="TW63" s="17"/>
      <c r="TX63" s="17"/>
      <c r="TY63" s="17"/>
      <c r="TZ63" s="17"/>
      <c r="UA63" s="17"/>
      <c r="UB63" s="17"/>
      <c r="UC63" s="17"/>
      <c r="UD63" s="17"/>
      <c r="UE63" s="17"/>
      <c r="UF63" s="17"/>
      <c r="UG63" s="17"/>
      <c r="UH63" s="17"/>
      <c r="UI63" s="17"/>
      <c r="UJ63" s="17"/>
      <c r="UK63" s="17"/>
      <c r="UL63" s="17"/>
      <c r="UM63" s="17"/>
      <c r="UN63" s="17"/>
      <c r="UO63" s="17"/>
      <c r="UP63" s="17"/>
      <c r="UQ63" s="17"/>
      <c r="UR63" s="17"/>
      <c r="US63" s="17"/>
      <c r="UT63" s="17"/>
      <c r="UU63" s="17"/>
      <c r="UV63" s="17"/>
      <c r="UW63" s="17"/>
      <c r="UX63" s="17"/>
      <c r="UY63" s="17"/>
      <c r="UZ63" s="17"/>
      <c r="VA63" s="17"/>
      <c r="VB63" s="17"/>
      <c r="VC63" s="17"/>
      <c r="VD63" s="17"/>
      <c r="VE63" s="17"/>
      <c r="VF63" s="17"/>
      <c r="VG63" s="17"/>
      <c r="VH63" s="17"/>
      <c r="VI63" s="17"/>
      <c r="VJ63" s="17"/>
      <c r="VK63" s="17"/>
      <c r="VL63" s="17"/>
      <c r="VM63" s="17"/>
      <c r="VN63" s="17"/>
      <c r="VO63" s="17"/>
      <c r="VP63" s="17"/>
      <c r="VQ63" s="17"/>
      <c r="VR63" s="17"/>
      <c r="VS63" s="17"/>
      <c r="VT63" s="17"/>
      <c r="VU63" s="17"/>
      <c r="VV63" s="17"/>
      <c r="VW63" s="17"/>
      <c r="VX63" s="17"/>
      <c r="VY63" s="17"/>
      <c r="VZ63" s="17"/>
      <c r="WA63" s="17"/>
      <c r="WB63" s="17"/>
      <c r="WC63" s="17"/>
      <c r="WD63" s="17"/>
      <c r="WE63" s="17"/>
      <c r="WF63" s="17"/>
      <c r="WG63" s="17"/>
      <c r="WH63" s="17"/>
      <c r="WI63" s="17"/>
      <c r="WJ63" s="17"/>
      <c r="WK63" s="17"/>
      <c r="WL63" s="17"/>
      <c r="WM63" s="17"/>
      <c r="WN63" s="17"/>
      <c r="WO63" s="17"/>
      <c r="WP63" s="17"/>
      <c r="WQ63" s="17"/>
      <c r="WR63" s="17"/>
      <c r="WS63" s="17"/>
      <c r="WT63" s="17"/>
      <c r="WU63" s="17"/>
      <c r="WV63" s="17"/>
      <c r="WW63" s="17"/>
      <c r="WX63" s="17"/>
      <c r="WY63" s="17"/>
      <c r="WZ63" s="17"/>
      <c r="XA63" s="17"/>
      <c r="XB63" s="17"/>
      <c r="XC63" s="17"/>
      <c r="XD63" s="17"/>
      <c r="XE63" s="17"/>
      <c r="XF63" s="17"/>
      <c r="XG63" s="17"/>
      <c r="XH63" s="17"/>
      <c r="XI63" s="17"/>
      <c r="XJ63" s="17"/>
      <c r="XK63" s="17"/>
      <c r="XL63" s="17"/>
      <c r="XM63" s="17"/>
      <c r="XN63" s="17"/>
      <c r="XO63" s="17"/>
      <c r="XP63" s="17"/>
      <c r="XQ63" s="17"/>
      <c r="XR63" s="17"/>
      <c r="XS63" s="17"/>
      <c r="XT63" s="17"/>
      <c r="XU63" s="17"/>
      <c r="XV63" s="17"/>
      <c r="XW63" s="17"/>
      <c r="XX63" s="17"/>
      <c r="XY63" s="17"/>
      <c r="XZ63" s="17"/>
      <c r="YA63" s="17"/>
      <c r="YB63" s="17"/>
      <c r="YC63" s="17"/>
      <c r="YD63" s="17"/>
      <c r="YE63" s="17"/>
      <c r="YF63" s="17"/>
      <c r="YG63" s="17"/>
      <c r="YH63" s="17"/>
      <c r="YI63" s="17"/>
      <c r="YJ63" s="17"/>
      <c r="YK63" s="17"/>
      <c r="YL63" s="17"/>
      <c r="YM63" s="17"/>
      <c r="YN63" s="17"/>
      <c r="YO63" s="17"/>
      <c r="YP63" s="17"/>
      <c r="YQ63" s="17"/>
      <c r="YR63" s="17"/>
      <c r="YS63" s="17"/>
      <c r="YT63" s="17"/>
      <c r="YU63" s="17"/>
      <c r="YV63" s="17"/>
      <c r="YW63" s="17"/>
      <c r="YX63" s="17"/>
      <c r="YY63" s="17"/>
      <c r="YZ63" s="17"/>
      <c r="ZA63" s="17"/>
      <c r="ZB63" s="17"/>
      <c r="ZC63" s="17"/>
      <c r="ZD63" s="17"/>
      <c r="ZE63" s="17"/>
      <c r="ZF63" s="17"/>
      <c r="ZG63" s="17"/>
      <c r="ZH63" s="17"/>
      <c r="ZI63" s="17"/>
      <c r="ZJ63" s="17"/>
      <c r="ZK63" s="17"/>
      <c r="ZL63" s="17"/>
      <c r="ZM63" s="17"/>
      <c r="ZN63" s="17"/>
      <c r="ZO63" s="17"/>
      <c r="ZP63" s="17"/>
      <c r="ZQ63" s="17"/>
      <c r="ZR63" s="17"/>
      <c r="ZS63" s="17"/>
      <c r="ZT63" s="17"/>
      <c r="ZU63" s="17"/>
      <c r="ZV63" s="17"/>
      <c r="ZW63" s="17"/>
      <c r="ZX63" s="17"/>
      <c r="ZY63" s="17"/>
      <c r="ZZ63" s="17"/>
      <c r="AAA63" s="17"/>
      <c r="AAB63" s="17"/>
      <c r="AAC63" s="17"/>
      <c r="AAD63" s="17"/>
      <c r="AAE63" s="17"/>
      <c r="AAF63" s="17"/>
      <c r="AAG63" s="17"/>
      <c r="AAH63" s="17"/>
      <c r="AAI63" s="17"/>
      <c r="AAJ63" s="17"/>
      <c r="AAK63" s="17"/>
      <c r="AAL63" s="17"/>
      <c r="AAM63" s="17"/>
      <c r="AAN63" s="17"/>
      <c r="AAO63" s="17"/>
      <c r="AAP63" s="17"/>
      <c r="AAQ63" s="17"/>
      <c r="AAR63" s="17"/>
      <c r="AAS63" s="17"/>
      <c r="AAT63" s="17"/>
      <c r="AAU63" s="17"/>
      <c r="AAV63" s="17"/>
      <c r="AAW63" s="17"/>
      <c r="AAX63" s="17"/>
      <c r="AAY63" s="17"/>
      <c r="AAZ63" s="17"/>
      <c r="ABA63" s="17"/>
      <c r="ABB63" s="17"/>
      <c r="ABC63" s="17"/>
      <c r="ABD63" s="17"/>
      <c r="ABE63" s="17"/>
      <c r="ABF63" s="17"/>
      <c r="ABG63" s="17"/>
      <c r="ABH63" s="17"/>
      <c r="ABI63" s="17"/>
      <c r="ABJ63" s="17"/>
      <c r="ABK63" s="17"/>
      <c r="ABL63" s="17"/>
      <c r="ABM63" s="17"/>
      <c r="ABN63" s="17"/>
      <c r="ABO63" s="17"/>
      <c r="ABP63" s="17"/>
      <c r="ABQ63" s="17"/>
      <c r="ABR63" s="17"/>
      <c r="ABS63" s="17"/>
      <c r="ABT63" s="17"/>
      <c r="ABU63" s="17"/>
      <c r="ABV63" s="17"/>
      <c r="ABW63" s="17"/>
      <c r="ABX63" s="17"/>
      <c r="ABY63" s="17"/>
      <c r="ABZ63" s="17"/>
      <c r="ACA63" s="17"/>
      <c r="ACB63" s="17"/>
      <c r="ACC63" s="17"/>
      <c r="ACD63" s="17"/>
      <c r="ACE63" s="17"/>
      <c r="ACF63" s="17"/>
      <c r="ACG63" s="17"/>
      <c r="ACH63" s="17"/>
      <c r="ACI63" s="17"/>
      <c r="ACJ63" s="17"/>
      <c r="ACK63" s="17"/>
      <c r="ACL63" s="17"/>
      <c r="ACM63" s="17"/>
      <c r="ACN63" s="17"/>
      <c r="ACO63" s="17"/>
      <c r="ACP63" s="17"/>
      <c r="ACQ63" s="17"/>
      <c r="ACR63" s="17"/>
      <c r="ACS63" s="17"/>
      <c r="ACT63" s="17"/>
      <c r="ACU63" s="17"/>
      <c r="ACV63" s="17"/>
      <c r="ACW63" s="17"/>
      <c r="ACX63" s="17"/>
      <c r="ACY63" s="17"/>
      <c r="ACZ63" s="17"/>
      <c r="ADA63" s="17"/>
      <c r="ADB63" s="17"/>
      <c r="ADC63" s="17"/>
      <c r="ADD63" s="17"/>
      <c r="ADE63" s="17"/>
      <c r="ADF63" s="17"/>
      <c r="ADG63" s="17"/>
      <c r="ADH63" s="17"/>
      <c r="ADI63" s="17"/>
      <c r="ADJ63" s="17"/>
      <c r="ADK63" s="17"/>
      <c r="ADL63" s="17"/>
      <c r="ADM63" s="17"/>
      <c r="ADN63" s="17"/>
      <c r="ADO63" s="17"/>
      <c r="ADP63" s="17"/>
      <c r="ADQ63" s="17"/>
      <c r="ADR63" s="17"/>
      <c r="ADS63" s="17"/>
      <c r="ADT63" s="17"/>
      <c r="ADU63" s="17"/>
      <c r="ADV63" s="17"/>
      <c r="ADW63" s="17"/>
      <c r="ADX63" s="17"/>
      <c r="ADY63" s="17"/>
      <c r="ADZ63" s="17"/>
      <c r="AEA63" s="17"/>
      <c r="AEB63" s="17"/>
      <c r="AEC63" s="17"/>
      <c r="AED63" s="17"/>
      <c r="AEE63" s="17"/>
      <c r="AEF63" s="17"/>
      <c r="AEG63" s="17"/>
      <c r="AEH63" s="17"/>
      <c r="AEI63" s="17"/>
      <c r="AEJ63" s="17"/>
      <c r="AEK63" s="17"/>
      <c r="AEL63" s="17"/>
      <c r="AEM63" s="17"/>
      <c r="AEN63" s="17"/>
      <c r="AEO63" s="17"/>
      <c r="AEP63" s="17"/>
      <c r="AEQ63" s="17"/>
      <c r="AER63" s="17"/>
      <c r="AES63" s="17"/>
      <c r="AET63" s="17"/>
      <c r="AEU63" s="17"/>
      <c r="AEV63" s="17"/>
      <c r="AEW63" s="17"/>
      <c r="AEX63" s="17"/>
      <c r="AEY63" s="17"/>
      <c r="AEZ63" s="17"/>
      <c r="AFA63" s="17"/>
      <c r="AFB63" s="17"/>
      <c r="AFC63" s="17"/>
      <c r="AFD63" s="17"/>
      <c r="AFE63" s="17"/>
      <c r="AFF63" s="17"/>
      <c r="AFG63" s="17"/>
      <c r="AFH63" s="17"/>
      <c r="AFI63" s="17"/>
      <c r="AFJ63" s="17"/>
    </row>
    <row r="64" spans="1:842" s="112" customFormat="1" x14ac:dyDescent="0.25">
      <c r="A64" s="271" t="s">
        <v>51</v>
      </c>
      <c r="B64" s="272" t="s">
        <v>43</v>
      </c>
      <c r="C64" s="273">
        <v>45</v>
      </c>
      <c r="D64" s="348">
        <v>214</v>
      </c>
      <c r="E64" s="348">
        <v>39.200000000000003</v>
      </c>
      <c r="F64" s="349">
        <v>16.2</v>
      </c>
      <c r="G64" s="349">
        <v>3.6256093902439019</v>
      </c>
      <c r="H64" s="349">
        <v>3.75</v>
      </c>
      <c r="I64" s="349">
        <v>3.7619045238095237</v>
      </c>
      <c r="J64" s="519">
        <v>163.17497348886533</v>
      </c>
      <c r="K64" s="519">
        <v>164.22448979591837</v>
      </c>
      <c r="L64" s="519">
        <v>163.72839506172841</v>
      </c>
      <c r="M64" s="519">
        <v>151.92470837751856</v>
      </c>
      <c r="N64" s="519">
        <v>155.13265306122449</v>
      </c>
      <c r="O64" s="519">
        <v>153.71604938271605</v>
      </c>
      <c r="P64" s="360">
        <v>1.6799999999999999E-2</v>
      </c>
      <c r="Q64" s="360">
        <v>2.5499999999999998E-2</v>
      </c>
      <c r="R64" s="360">
        <v>4.9399999999999999E-2</v>
      </c>
      <c r="S64" s="332">
        <v>0.18340000000000001</v>
      </c>
      <c r="T64" s="332">
        <v>0.74419999999999997</v>
      </c>
      <c r="U64" s="513">
        <v>2</v>
      </c>
      <c r="V64" s="410">
        <v>0.6</v>
      </c>
      <c r="W64" s="410">
        <v>0.4</v>
      </c>
      <c r="X64" s="334">
        <v>95</v>
      </c>
      <c r="Y64" s="510">
        <v>0.89622641509433965</v>
      </c>
      <c r="Z64" s="341">
        <v>7</v>
      </c>
      <c r="AA64" s="341">
        <v>62</v>
      </c>
      <c r="AB64" s="341">
        <v>10</v>
      </c>
      <c r="AC64" s="341">
        <v>79</v>
      </c>
      <c r="AD64" s="72">
        <v>136</v>
      </c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</row>
    <row r="65" spans="1:842" s="112" customFormat="1" x14ac:dyDescent="0.25">
      <c r="A65" s="271" t="s">
        <v>48</v>
      </c>
      <c r="B65" s="272" t="s">
        <v>43</v>
      </c>
      <c r="C65" s="273">
        <v>56</v>
      </c>
      <c r="D65" s="348">
        <v>528.20000000000005</v>
      </c>
      <c r="E65" s="348">
        <v>224.2</v>
      </c>
      <c r="F65" s="349">
        <v>56.8</v>
      </c>
      <c r="G65" s="349">
        <v>3.6137163716814156</v>
      </c>
      <c r="H65" s="349">
        <v>3.6207310975609754</v>
      </c>
      <c r="I65" s="349">
        <v>3.6065215434782609</v>
      </c>
      <c r="J65" s="519">
        <v>163.46976552858905</v>
      </c>
      <c r="K65" s="519">
        <v>163.94575045207958</v>
      </c>
      <c r="L65" s="519">
        <v>162.29310344827587</v>
      </c>
      <c r="M65" s="519">
        <v>153.14273961332785</v>
      </c>
      <c r="N65" s="519">
        <v>155.63381555153708</v>
      </c>
      <c r="O65" s="519">
        <v>155.0344827586207</v>
      </c>
      <c r="P65" s="360">
        <v>1.67E-2</v>
      </c>
      <c r="Q65" s="360">
        <v>2.5000000000000001E-2</v>
      </c>
      <c r="R65" s="360">
        <v>6.3399999999999998E-2</v>
      </c>
      <c r="S65" s="332">
        <v>0.16600000000000001</v>
      </c>
      <c r="T65" s="332">
        <v>0.67020000000000002</v>
      </c>
      <c r="U65" s="513">
        <v>17</v>
      </c>
      <c r="V65" s="410">
        <v>0.25</v>
      </c>
      <c r="W65" s="410">
        <v>0.75</v>
      </c>
      <c r="X65" s="334">
        <v>150</v>
      </c>
      <c r="Y65" s="510">
        <v>0.75757575757575757</v>
      </c>
      <c r="Z65" s="341">
        <v>13</v>
      </c>
      <c r="AA65" s="341">
        <v>76</v>
      </c>
      <c r="AB65" s="341">
        <v>30</v>
      </c>
      <c r="AC65" s="341">
        <v>119</v>
      </c>
      <c r="AD65" s="72">
        <v>199</v>
      </c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</row>
    <row r="66" spans="1:842" s="112" customFormat="1" x14ac:dyDescent="0.25">
      <c r="A66" s="271" t="s">
        <v>47</v>
      </c>
      <c r="B66" s="272" t="s">
        <v>43</v>
      </c>
      <c r="C66" s="273">
        <v>63</v>
      </c>
      <c r="D66" s="348">
        <v>53.4</v>
      </c>
      <c r="E66" s="348">
        <v>8.4</v>
      </c>
      <c r="F66" s="349">
        <v>6.4</v>
      </c>
      <c r="G66" s="349">
        <v>3.4653059795918368</v>
      </c>
      <c r="H66" s="349">
        <v>3.4913042608695655</v>
      </c>
      <c r="I66" s="349">
        <v>3.4666665714285716</v>
      </c>
      <c r="J66" s="519">
        <v>161.2808510638298</v>
      </c>
      <c r="K66" s="519">
        <v>159.14705882352942</v>
      </c>
      <c r="L66" s="519">
        <v>158.77777777777777</v>
      </c>
      <c r="M66" s="519">
        <v>153.34893617021277</v>
      </c>
      <c r="N66" s="519">
        <v>152.05882352941177</v>
      </c>
      <c r="O66" s="519">
        <v>152.37037037037038</v>
      </c>
      <c r="P66" s="360">
        <v>4.87E-2</v>
      </c>
      <c r="Q66" s="360">
        <v>0.1429</v>
      </c>
      <c r="R66" s="360">
        <v>0.15629999999999999</v>
      </c>
      <c r="S66" s="332">
        <v>0.44479999999999997</v>
      </c>
      <c r="T66" s="332">
        <v>0.33450000000000002</v>
      </c>
      <c r="U66" s="513">
        <v>9</v>
      </c>
      <c r="V66" s="408">
        <v>0.66666666666666663</v>
      </c>
      <c r="W66" s="408">
        <v>0.33333333333333331</v>
      </c>
      <c r="X66" s="334">
        <v>31</v>
      </c>
      <c r="Y66" s="510">
        <v>0.60784313725490191</v>
      </c>
      <c r="Z66" s="341">
        <v>4</v>
      </c>
      <c r="AA66" s="341">
        <v>20</v>
      </c>
      <c r="AB66" s="341">
        <v>4</v>
      </c>
      <c r="AC66" s="341">
        <v>28</v>
      </c>
      <c r="AD66" s="72">
        <v>43</v>
      </c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</row>
    <row r="67" spans="1:842" s="112" customFormat="1" x14ac:dyDescent="0.25">
      <c r="A67" s="271" t="s">
        <v>46</v>
      </c>
      <c r="B67" s="272" t="s">
        <v>43</v>
      </c>
      <c r="C67" s="273">
        <v>83</v>
      </c>
      <c r="D67" s="348">
        <v>175.2</v>
      </c>
      <c r="E67" s="348">
        <v>21</v>
      </c>
      <c r="F67" s="349">
        <v>12.6</v>
      </c>
      <c r="G67" s="349">
        <v>3.6115940289855071</v>
      </c>
      <c r="H67" s="349">
        <v>3.7478258695652173</v>
      </c>
      <c r="I67" s="349">
        <v>3.7363636363636363</v>
      </c>
      <c r="J67" s="519">
        <v>163.1741357234315</v>
      </c>
      <c r="K67" s="519">
        <v>164.08653846153845</v>
      </c>
      <c r="L67" s="519">
        <v>164.01587301587301</v>
      </c>
      <c r="M67" s="519">
        <v>149.75416133162611</v>
      </c>
      <c r="N67" s="519">
        <v>149.95192307692307</v>
      </c>
      <c r="O67" s="519">
        <v>148.07936507936509</v>
      </c>
      <c r="P67" s="360">
        <v>1.7100000000000001E-2</v>
      </c>
      <c r="Q67" s="360">
        <v>2.86E-2</v>
      </c>
      <c r="R67" s="360">
        <v>1.5900000000000001E-2</v>
      </c>
      <c r="S67" s="332">
        <v>0.30609999999999998</v>
      </c>
      <c r="T67" s="332">
        <v>0.81630000000000003</v>
      </c>
      <c r="U67" s="513">
        <v>1</v>
      </c>
      <c r="V67" s="410">
        <v>1</v>
      </c>
      <c r="W67" s="410">
        <v>0</v>
      </c>
      <c r="X67" s="334">
        <v>42</v>
      </c>
      <c r="Y67" s="510">
        <v>0.93333333333333335</v>
      </c>
      <c r="Z67" s="341">
        <v>13</v>
      </c>
      <c r="AA67" s="341">
        <v>11</v>
      </c>
      <c r="AB67" s="341">
        <v>8</v>
      </c>
      <c r="AC67" s="341">
        <v>32</v>
      </c>
      <c r="AD67" s="72">
        <v>46</v>
      </c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</row>
    <row r="68" spans="1:842" s="112" customFormat="1" x14ac:dyDescent="0.25">
      <c r="A68" s="271" t="s">
        <v>44</v>
      </c>
      <c r="B68" s="272" t="s">
        <v>43</v>
      </c>
      <c r="C68" s="273">
        <v>93</v>
      </c>
      <c r="D68" s="348">
        <v>225.2</v>
      </c>
      <c r="E68" s="348">
        <v>56.6</v>
      </c>
      <c r="F68" s="349">
        <v>20.8</v>
      </c>
      <c r="G68" s="349">
        <v>3.4856135964912278</v>
      </c>
      <c r="H68" s="349">
        <v>3.5557599769585253</v>
      </c>
      <c r="I68" s="349">
        <v>3.496629</v>
      </c>
      <c r="J68" s="519">
        <v>161.74517374517376</v>
      </c>
      <c r="K68" s="519">
        <v>161.20567375886526</v>
      </c>
      <c r="L68" s="519">
        <v>159.71698113207546</v>
      </c>
      <c r="M68" s="519">
        <v>152.25</v>
      </c>
      <c r="N68" s="519">
        <v>156.89007092198582</v>
      </c>
      <c r="O68" s="519">
        <v>156.15094339622641</v>
      </c>
      <c r="P68" s="360">
        <v>4.6199999999999998E-2</v>
      </c>
      <c r="Q68" s="360">
        <v>0.1166</v>
      </c>
      <c r="R68" s="360">
        <v>0.15379999999999999</v>
      </c>
      <c r="S68" s="332">
        <v>0.16689999999999999</v>
      </c>
      <c r="T68" s="332">
        <v>0.41360000000000002</v>
      </c>
      <c r="U68" s="513">
        <v>14</v>
      </c>
      <c r="V68" s="410">
        <v>0.38461538461538464</v>
      </c>
      <c r="W68" s="410">
        <v>0.53846153846153844</v>
      </c>
      <c r="X68" s="334">
        <v>99</v>
      </c>
      <c r="Y68" s="510">
        <v>0.89189189189189189</v>
      </c>
      <c r="Z68" s="341">
        <v>1</v>
      </c>
      <c r="AA68" s="341">
        <v>56</v>
      </c>
      <c r="AB68" s="341">
        <v>55</v>
      </c>
      <c r="AC68" s="341">
        <v>112</v>
      </c>
      <c r="AD68" s="72">
        <v>173</v>
      </c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</row>
    <row r="69" spans="1:842" s="112" customFormat="1" x14ac:dyDescent="0.25">
      <c r="A69" s="271" t="s">
        <v>45</v>
      </c>
      <c r="B69" s="272" t="s">
        <v>43</v>
      </c>
      <c r="C69" s="273">
        <v>103</v>
      </c>
      <c r="D69" s="348">
        <v>64</v>
      </c>
      <c r="E69" s="348">
        <v>18.399999999999999</v>
      </c>
      <c r="F69" s="349">
        <v>4.8</v>
      </c>
      <c r="G69" s="349">
        <v>3.568852087431694</v>
      </c>
      <c r="H69" s="349">
        <v>3.681332746666667</v>
      </c>
      <c r="I69" s="349">
        <v>3.5263155263157895</v>
      </c>
      <c r="J69" s="519">
        <v>160.56802721088437</v>
      </c>
      <c r="K69" s="519">
        <v>161.43956043956044</v>
      </c>
      <c r="L69" s="519">
        <v>160.875</v>
      </c>
      <c r="M69" s="519">
        <v>153.38095238095238</v>
      </c>
      <c r="N69" s="519">
        <v>156.73626373626374</v>
      </c>
      <c r="O69" s="519">
        <v>155.5</v>
      </c>
      <c r="P69" s="360">
        <v>7.1900000000000006E-2</v>
      </c>
      <c r="Q69" s="360">
        <v>0.1087</v>
      </c>
      <c r="R69" s="360">
        <v>0.33329999999999999</v>
      </c>
      <c r="S69" s="332">
        <v>0.23469999999999999</v>
      </c>
      <c r="T69" s="332">
        <v>0.17349999999999999</v>
      </c>
      <c r="U69" s="513">
        <v>4</v>
      </c>
      <c r="V69" s="408">
        <v>0.8</v>
      </c>
      <c r="W69" s="408">
        <v>0.2</v>
      </c>
      <c r="X69" s="334">
        <v>13</v>
      </c>
      <c r="Y69" s="510">
        <v>0.8125</v>
      </c>
      <c r="Z69" s="341">
        <v>1</v>
      </c>
      <c r="AA69" s="341">
        <v>9</v>
      </c>
      <c r="AB69" s="341">
        <v>9</v>
      </c>
      <c r="AC69" s="341">
        <v>19</v>
      </c>
      <c r="AD69" s="72">
        <v>25</v>
      </c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</row>
    <row r="70" spans="1:842" x14ac:dyDescent="0.25">
      <c r="A70" s="271" t="s">
        <v>72</v>
      </c>
      <c r="B70" s="272" t="s">
        <v>52</v>
      </c>
      <c r="C70" s="273">
        <v>341</v>
      </c>
      <c r="D70" s="348">
        <v>12.2</v>
      </c>
      <c r="E70" s="348">
        <v>4.5999999999999996</v>
      </c>
      <c r="F70" s="349">
        <v>2.2000000000000002</v>
      </c>
      <c r="G70" s="349">
        <v>3.6611106666666666</v>
      </c>
      <c r="H70" s="349">
        <v>3.7473683157894735</v>
      </c>
      <c r="I70" s="349">
        <v>3.8333331111111111</v>
      </c>
      <c r="J70" s="519">
        <v>149.95238095238096</v>
      </c>
      <c r="K70" s="519">
        <v>150.11764705882354</v>
      </c>
      <c r="L70" s="519">
        <v>149.75</v>
      </c>
      <c r="M70" s="519">
        <v>156.4047619047619</v>
      </c>
      <c r="N70" s="519">
        <v>157.88235294117646</v>
      </c>
      <c r="O70" s="519">
        <v>159.75</v>
      </c>
      <c r="P70" s="360">
        <v>9.8400000000000001E-2</v>
      </c>
      <c r="Q70" s="360">
        <v>0</v>
      </c>
      <c r="R70" s="360">
        <v>0</v>
      </c>
      <c r="S70" s="332">
        <v>0.72289999999999999</v>
      </c>
      <c r="T70" s="332">
        <v>8.43E-2</v>
      </c>
      <c r="U70" s="513">
        <v>5</v>
      </c>
      <c r="V70" s="410">
        <v>0</v>
      </c>
      <c r="W70" s="410">
        <v>0</v>
      </c>
      <c r="X70" s="334">
        <v>17</v>
      </c>
      <c r="Y70" s="512">
        <v>0.80952380952380953</v>
      </c>
      <c r="Z70" s="341">
        <v>6</v>
      </c>
      <c r="AA70" s="341">
        <v>0</v>
      </c>
      <c r="AB70" s="341">
        <v>0</v>
      </c>
      <c r="AC70" s="341">
        <v>6</v>
      </c>
      <c r="AD70" s="72">
        <v>7</v>
      </c>
    </row>
    <row r="71" spans="1:842" s="112" customFormat="1" x14ac:dyDescent="0.25">
      <c r="A71" s="274" t="s">
        <v>195</v>
      </c>
      <c r="B71" s="272" t="s">
        <v>52</v>
      </c>
      <c r="C71" s="273">
        <v>101</v>
      </c>
      <c r="D71" s="348">
        <v>17.8</v>
      </c>
      <c r="E71" s="348">
        <v>6.4</v>
      </c>
      <c r="F71" s="349">
        <v>4.5999999999999996</v>
      </c>
      <c r="G71" s="349">
        <v>3.6137930344827587</v>
      </c>
      <c r="H71" s="349">
        <v>3.6874998749999999</v>
      </c>
      <c r="I71" s="349">
        <v>3.6333333333333337</v>
      </c>
      <c r="J71" s="519">
        <v>148.6829268292683</v>
      </c>
      <c r="K71" s="519">
        <v>148.80000000000001</v>
      </c>
      <c r="L71" s="519">
        <v>149.46153846153845</v>
      </c>
      <c r="M71" s="519">
        <v>152.4390243902439</v>
      </c>
      <c r="N71" s="519">
        <v>156.25</v>
      </c>
      <c r="O71" s="519">
        <v>157.15384615384616</v>
      </c>
      <c r="P71" s="360">
        <v>6.7400000000000002E-2</v>
      </c>
      <c r="Q71" s="360">
        <v>9.3799999999999994E-2</v>
      </c>
      <c r="R71" s="360">
        <v>4.3499999999999997E-2</v>
      </c>
      <c r="S71" s="332">
        <v>0.28029999999999999</v>
      </c>
      <c r="T71" s="332">
        <v>0.17419999999999999</v>
      </c>
      <c r="U71" s="513">
        <v>2</v>
      </c>
      <c r="V71" s="408">
        <v>0</v>
      </c>
      <c r="W71" s="408">
        <v>0</v>
      </c>
      <c r="X71" s="334">
        <v>21</v>
      </c>
      <c r="Y71" s="510">
        <v>0.84</v>
      </c>
      <c r="Z71" s="341">
        <v>14</v>
      </c>
      <c r="AA71" s="341">
        <v>2</v>
      </c>
      <c r="AB71" s="341">
        <v>0</v>
      </c>
      <c r="AC71" s="341">
        <v>16</v>
      </c>
      <c r="AD71" s="72">
        <v>20</v>
      </c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  <c r="KY71" s="17"/>
      <c r="KZ71" s="17"/>
      <c r="LA71" s="17"/>
      <c r="LB71" s="17"/>
      <c r="LC71" s="17"/>
      <c r="LD71" s="17"/>
      <c r="LE71" s="17"/>
      <c r="LF71" s="17"/>
      <c r="LG71" s="17"/>
      <c r="LH71" s="17"/>
      <c r="LI71" s="17"/>
      <c r="LJ71" s="17"/>
      <c r="LK71" s="17"/>
      <c r="LL71" s="17"/>
      <c r="LM71" s="17"/>
      <c r="LN71" s="17"/>
      <c r="LO71" s="17"/>
      <c r="LP71" s="17"/>
      <c r="LQ71" s="17"/>
      <c r="LR71" s="17"/>
      <c r="LS71" s="17"/>
      <c r="LT71" s="17"/>
      <c r="LU71" s="17"/>
      <c r="LV71" s="17"/>
      <c r="LW71" s="17"/>
      <c r="LX71" s="17"/>
      <c r="LY71" s="17"/>
      <c r="LZ71" s="17"/>
      <c r="MA71" s="17"/>
      <c r="MB71" s="17"/>
      <c r="MC71" s="17"/>
      <c r="MD71" s="17"/>
      <c r="ME71" s="17"/>
      <c r="MF71" s="17"/>
      <c r="MG71" s="17"/>
      <c r="MH71" s="17"/>
      <c r="MI71" s="17"/>
      <c r="MJ71" s="17"/>
      <c r="MK71" s="17"/>
      <c r="ML71" s="17"/>
      <c r="MM71" s="17"/>
      <c r="MN71" s="17"/>
      <c r="MO71" s="17"/>
      <c r="MP71" s="17"/>
      <c r="MQ71" s="17"/>
      <c r="MR71" s="17"/>
      <c r="MS71" s="17"/>
      <c r="MT71" s="17"/>
      <c r="MU71" s="17"/>
      <c r="MV71" s="17"/>
      <c r="MW71" s="17"/>
      <c r="MX71" s="17"/>
      <c r="MY71" s="17"/>
      <c r="MZ71" s="17"/>
      <c r="NA71" s="17"/>
      <c r="NB71" s="17"/>
      <c r="NC71" s="17"/>
      <c r="ND71" s="17"/>
      <c r="NE71" s="17"/>
      <c r="NF71" s="17"/>
      <c r="NG71" s="17"/>
      <c r="NH71" s="17"/>
      <c r="NI71" s="17"/>
      <c r="NJ71" s="17"/>
      <c r="NK71" s="17"/>
      <c r="NL71" s="17"/>
      <c r="NM71" s="17"/>
      <c r="NN71" s="17"/>
      <c r="NO71" s="17"/>
      <c r="NP71" s="17"/>
      <c r="NQ71" s="17"/>
      <c r="NR71" s="17"/>
      <c r="NS71" s="17"/>
      <c r="NT71" s="17"/>
      <c r="NU71" s="17"/>
      <c r="NV71" s="17"/>
      <c r="NW71" s="17"/>
      <c r="NX71" s="17"/>
      <c r="NY71" s="17"/>
      <c r="NZ71" s="17"/>
      <c r="OA71" s="17"/>
      <c r="OB71" s="17"/>
      <c r="OC71" s="17"/>
      <c r="OD71" s="17"/>
      <c r="OE71" s="17"/>
      <c r="OF71" s="17"/>
      <c r="OG71" s="17"/>
      <c r="OH71" s="17"/>
      <c r="OI71" s="17"/>
      <c r="OJ71" s="17"/>
      <c r="OK71" s="17"/>
      <c r="OL71" s="17"/>
      <c r="OM71" s="17"/>
      <c r="ON71" s="17"/>
      <c r="OO71" s="17"/>
      <c r="OP71" s="17"/>
      <c r="OQ71" s="17"/>
      <c r="OR71" s="17"/>
      <c r="OS71" s="17"/>
      <c r="OT71" s="17"/>
      <c r="OU71" s="17"/>
      <c r="OV71" s="17"/>
      <c r="OW71" s="17"/>
      <c r="OX71" s="17"/>
      <c r="OY71" s="17"/>
      <c r="OZ71" s="17"/>
      <c r="PA71" s="17"/>
      <c r="PB71" s="17"/>
      <c r="PC71" s="17"/>
      <c r="PD71" s="17"/>
      <c r="PE71" s="17"/>
      <c r="PF71" s="17"/>
      <c r="PG71" s="17"/>
      <c r="PH71" s="17"/>
      <c r="PI71" s="17"/>
      <c r="PJ71" s="17"/>
      <c r="PK71" s="17"/>
      <c r="PL71" s="17"/>
      <c r="PM71" s="17"/>
      <c r="PN71" s="17"/>
      <c r="PO71" s="17"/>
      <c r="PP71" s="17"/>
      <c r="PQ71" s="17"/>
      <c r="PR71" s="17"/>
      <c r="PS71" s="17"/>
      <c r="PT71" s="17"/>
      <c r="PU71" s="17"/>
      <c r="PV71" s="17"/>
      <c r="PW71" s="17"/>
      <c r="PX71" s="17"/>
      <c r="PY71" s="17"/>
      <c r="PZ71" s="17"/>
      <c r="QA71" s="17"/>
      <c r="QB71" s="17"/>
      <c r="QC71" s="17"/>
      <c r="QD71" s="17"/>
      <c r="QE71" s="17"/>
      <c r="QF71" s="17"/>
      <c r="QG71" s="17"/>
      <c r="QH71" s="17"/>
      <c r="QI71" s="17"/>
      <c r="QJ71" s="17"/>
      <c r="QK71" s="17"/>
      <c r="QL71" s="17"/>
      <c r="QM71" s="17"/>
      <c r="QN71" s="17"/>
      <c r="QO71" s="17"/>
      <c r="QP71" s="17"/>
      <c r="QQ71" s="17"/>
      <c r="QR71" s="17"/>
      <c r="QS71" s="17"/>
      <c r="QT71" s="17"/>
      <c r="QU71" s="17"/>
      <c r="QV71" s="17"/>
      <c r="QW71" s="17"/>
      <c r="QX71" s="17"/>
      <c r="QY71" s="17"/>
      <c r="QZ71" s="17"/>
      <c r="RA71" s="17"/>
      <c r="RB71" s="17"/>
      <c r="RC71" s="17"/>
      <c r="RD71" s="17"/>
      <c r="RE71" s="17"/>
      <c r="RF71" s="17"/>
      <c r="RG71" s="17"/>
      <c r="RH71" s="17"/>
      <c r="RI71" s="17"/>
      <c r="RJ71" s="17"/>
      <c r="RK71" s="17"/>
      <c r="RL71" s="17"/>
      <c r="RM71" s="17"/>
      <c r="RN71" s="17"/>
      <c r="RO71" s="17"/>
      <c r="RP71" s="17"/>
      <c r="RQ71" s="17"/>
      <c r="RR71" s="17"/>
      <c r="RS71" s="17"/>
      <c r="RT71" s="17"/>
      <c r="RU71" s="17"/>
      <c r="RV71" s="17"/>
      <c r="RW71" s="17"/>
      <c r="RX71" s="17"/>
      <c r="RY71" s="17"/>
      <c r="RZ71" s="17"/>
      <c r="SA71" s="17"/>
      <c r="SB71" s="17"/>
      <c r="SC71" s="17"/>
      <c r="SD71" s="17"/>
      <c r="SE71" s="17"/>
      <c r="SF71" s="17"/>
      <c r="SG71" s="17"/>
      <c r="SH71" s="17"/>
      <c r="SI71" s="17"/>
      <c r="SJ71" s="17"/>
      <c r="SK71" s="17"/>
      <c r="SL71" s="17"/>
      <c r="SM71" s="17"/>
      <c r="SN71" s="17"/>
      <c r="SO71" s="17"/>
      <c r="SP71" s="17"/>
      <c r="SQ71" s="17"/>
      <c r="SR71" s="17"/>
      <c r="SS71" s="17"/>
      <c r="ST71" s="17"/>
      <c r="SU71" s="17"/>
      <c r="SV71" s="17"/>
      <c r="SW71" s="17"/>
      <c r="SX71" s="17"/>
      <c r="SY71" s="17"/>
      <c r="SZ71" s="17"/>
      <c r="TA71" s="17"/>
      <c r="TB71" s="17"/>
      <c r="TC71" s="17"/>
      <c r="TD71" s="17"/>
      <c r="TE71" s="17"/>
      <c r="TF71" s="17"/>
      <c r="TG71" s="17"/>
      <c r="TH71" s="17"/>
      <c r="TI71" s="17"/>
      <c r="TJ71" s="17"/>
      <c r="TK71" s="17"/>
      <c r="TL71" s="17"/>
      <c r="TM71" s="17"/>
      <c r="TN71" s="17"/>
      <c r="TO71" s="17"/>
      <c r="TP71" s="17"/>
      <c r="TQ71" s="17"/>
      <c r="TR71" s="17"/>
      <c r="TS71" s="17"/>
      <c r="TT71" s="17"/>
      <c r="TU71" s="17"/>
      <c r="TV71" s="17"/>
      <c r="TW71" s="17"/>
      <c r="TX71" s="17"/>
      <c r="TY71" s="17"/>
      <c r="TZ71" s="17"/>
      <c r="UA71" s="17"/>
      <c r="UB71" s="17"/>
      <c r="UC71" s="17"/>
      <c r="UD71" s="17"/>
      <c r="UE71" s="17"/>
      <c r="UF71" s="17"/>
      <c r="UG71" s="17"/>
      <c r="UH71" s="17"/>
      <c r="UI71" s="17"/>
      <c r="UJ71" s="17"/>
      <c r="UK71" s="17"/>
      <c r="UL71" s="17"/>
      <c r="UM71" s="17"/>
      <c r="UN71" s="17"/>
      <c r="UO71" s="17"/>
      <c r="UP71" s="17"/>
      <c r="UQ71" s="17"/>
      <c r="UR71" s="17"/>
      <c r="US71" s="17"/>
      <c r="UT71" s="17"/>
      <c r="UU71" s="17"/>
      <c r="UV71" s="17"/>
      <c r="UW71" s="17"/>
      <c r="UX71" s="17"/>
      <c r="UY71" s="17"/>
      <c r="UZ71" s="17"/>
      <c r="VA71" s="17"/>
      <c r="VB71" s="17"/>
      <c r="VC71" s="17"/>
      <c r="VD71" s="17"/>
      <c r="VE71" s="17"/>
      <c r="VF71" s="17"/>
      <c r="VG71" s="17"/>
      <c r="VH71" s="17"/>
      <c r="VI71" s="17"/>
      <c r="VJ71" s="17"/>
      <c r="VK71" s="17"/>
      <c r="VL71" s="17"/>
      <c r="VM71" s="17"/>
      <c r="VN71" s="17"/>
      <c r="VO71" s="17"/>
      <c r="VP71" s="17"/>
      <c r="VQ71" s="17"/>
      <c r="VR71" s="17"/>
      <c r="VS71" s="17"/>
      <c r="VT71" s="17"/>
      <c r="VU71" s="17"/>
      <c r="VV71" s="17"/>
      <c r="VW71" s="17"/>
      <c r="VX71" s="17"/>
      <c r="VY71" s="17"/>
      <c r="VZ71" s="17"/>
      <c r="WA71" s="17"/>
      <c r="WB71" s="17"/>
      <c r="WC71" s="17"/>
      <c r="WD71" s="17"/>
      <c r="WE71" s="17"/>
      <c r="WF71" s="17"/>
      <c r="WG71" s="17"/>
      <c r="WH71" s="17"/>
      <c r="WI71" s="17"/>
      <c r="WJ71" s="17"/>
      <c r="WK71" s="17"/>
      <c r="WL71" s="17"/>
      <c r="WM71" s="17"/>
      <c r="WN71" s="17"/>
      <c r="WO71" s="17"/>
      <c r="WP71" s="17"/>
      <c r="WQ71" s="17"/>
      <c r="WR71" s="17"/>
      <c r="WS71" s="17"/>
      <c r="WT71" s="17"/>
      <c r="WU71" s="17"/>
      <c r="WV71" s="17"/>
      <c r="WW71" s="17"/>
      <c r="WX71" s="17"/>
      <c r="WY71" s="17"/>
      <c r="WZ71" s="17"/>
      <c r="XA71" s="17"/>
      <c r="XB71" s="17"/>
      <c r="XC71" s="17"/>
      <c r="XD71" s="17"/>
      <c r="XE71" s="17"/>
      <c r="XF71" s="17"/>
      <c r="XG71" s="17"/>
      <c r="XH71" s="17"/>
      <c r="XI71" s="17"/>
      <c r="XJ71" s="17"/>
      <c r="XK71" s="17"/>
      <c r="XL71" s="17"/>
      <c r="XM71" s="17"/>
      <c r="XN71" s="17"/>
      <c r="XO71" s="17"/>
      <c r="XP71" s="17"/>
      <c r="XQ71" s="17"/>
      <c r="XR71" s="17"/>
      <c r="XS71" s="17"/>
      <c r="XT71" s="17"/>
      <c r="XU71" s="17"/>
      <c r="XV71" s="17"/>
      <c r="XW71" s="17"/>
      <c r="XX71" s="17"/>
      <c r="XY71" s="17"/>
      <c r="XZ71" s="17"/>
      <c r="YA71" s="17"/>
      <c r="YB71" s="17"/>
      <c r="YC71" s="17"/>
      <c r="YD71" s="17"/>
      <c r="YE71" s="17"/>
      <c r="YF71" s="17"/>
      <c r="YG71" s="17"/>
      <c r="YH71" s="17"/>
      <c r="YI71" s="17"/>
      <c r="YJ71" s="17"/>
      <c r="YK71" s="17"/>
      <c r="YL71" s="17"/>
      <c r="YM71" s="17"/>
      <c r="YN71" s="17"/>
      <c r="YO71" s="17"/>
      <c r="YP71" s="17"/>
      <c r="YQ71" s="17"/>
      <c r="YR71" s="17"/>
      <c r="YS71" s="17"/>
      <c r="YT71" s="17"/>
      <c r="YU71" s="17"/>
      <c r="YV71" s="17"/>
      <c r="YW71" s="17"/>
      <c r="YX71" s="17"/>
      <c r="YY71" s="17"/>
      <c r="YZ71" s="17"/>
      <c r="ZA71" s="17"/>
      <c r="ZB71" s="17"/>
      <c r="ZC71" s="17"/>
      <c r="ZD71" s="17"/>
      <c r="ZE71" s="17"/>
      <c r="ZF71" s="17"/>
      <c r="ZG71" s="17"/>
      <c r="ZH71" s="17"/>
      <c r="ZI71" s="17"/>
      <c r="ZJ71" s="17"/>
      <c r="ZK71" s="17"/>
      <c r="ZL71" s="17"/>
      <c r="ZM71" s="17"/>
      <c r="ZN71" s="17"/>
      <c r="ZO71" s="17"/>
      <c r="ZP71" s="17"/>
      <c r="ZQ71" s="17"/>
      <c r="ZR71" s="17"/>
      <c r="ZS71" s="17"/>
      <c r="ZT71" s="17"/>
      <c r="ZU71" s="17"/>
      <c r="ZV71" s="17"/>
      <c r="ZW71" s="17"/>
      <c r="ZX71" s="17"/>
      <c r="ZY71" s="17"/>
      <c r="ZZ71" s="17"/>
      <c r="AAA71" s="17"/>
      <c r="AAB71" s="17"/>
      <c r="AAC71" s="17"/>
      <c r="AAD71" s="17"/>
      <c r="AAE71" s="17"/>
      <c r="AAF71" s="17"/>
      <c r="AAG71" s="17"/>
      <c r="AAH71" s="17"/>
      <c r="AAI71" s="17"/>
      <c r="AAJ71" s="17"/>
      <c r="AAK71" s="17"/>
      <c r="AAL71" s="17"/>
      <c r="AAM71" s="17"/>
      <c r="AAN71" s="17"/>
      <c r="AAO71" s="17"/>
      <c r="AAP71" s="17"/>
      <c r="AAQ71" s="17"/>
      <c r="AAR71" s="17"/>
      <c r="AAS71" s="17"/>
      <c r="AAT71" s="17"/>
      <c r="AAU71" s="17"/>
      <c r="AAV71" s="17"/>
      <c r="AAW71" s="17"/>
      <c r="AAX71" s="17"/>
      <c r="AAY71" s="17"/>
      <c r="AAZ71" s="17"/>
      <c r="ABA71" s="17"/>
      <c r="ABB71" s="17"/>
      <c r="ABC71" s="17"/>
      <c r="ABD71" s="17"/>
      <c r="ABE71" s="17"/>
      <c r="ABF71" s="17"/>
      <c r="ABG71" s="17"/>
      <c r="ABH71" s="17"/>
      <c r="ABI71" s="17"/>
      <c r="ABJ71" s="17"/>
      <c r="ABK71" s="17"/>
      <c r="ABL71" s="17"/>
      <c r="ABM71" s="17"/>
      <c r="ABN71" s="17"/>
      <c r="ABO71" s="17"/>
      <c r="ABP71" s="17"/>
      <c r="ABQ71" s="17"/>
      <c r="ABR71" s="17"/>
      <c r="ABS71" s="17"/>
      <c r="ABT71" s="17"/>
      <c r="ABU71" s="17"/>
      <c r="ABV71" s="17"/>
      <c r="ABW71" s="17"/>
      <c r="ABX71" s="17"/>
      <c r="ABY71" s="17"/>
      <c r="ABZ71" s="17"/>
      <c r="ACA71" s="17"/>
      <c r="ACB71" s="17"/>
      <c r="ACC71" s="17"/>
      <c r="ACD71" s="17"/>
      <c r="ACE71" s="17"/>
      <c r="ACF71" s="17"/>
      <c r="ACG71" s="17"/>
      <c r="ACH71" s="17"/>
      <c r="ACI71" s="17"/>
      <c r="ACJ71" s="17"/>
      <c r="ACK71" s="17"/>
      <c r="ACL71" s="17"/>
      <c r="ACM71" s="17"/>
      <c r="ACN71" s="17"/>
      <c r="ACO71" s="17"/>
      <c r="ACP71" s="17"/>
      <c r="ACQ71" s="17"/>
      <c r="ACR71" s="17"/>
      <c r="ACS71" s="17"/>
      <c r="ACT71" s="17"/>
      <c r="ACU71" s="17"/>
      <c r="ACV71" s="17"/>
      <c r="ACW71" s="17"/>
      <c r="ACX71" s="17"/>
      <c r="ACY71" s="17"/>
      <c r="ACZ71" s="17"/>
      <c r="ADA71" s="17"/>
      <c r="ADB71" s="17"/>
      <c r="ADC71" s="17"/>
      <c r="ADD71" s="17"/>
      <c r="ADE71" s="17"/>
      <c r="ADF71" s="17"/>
      <c r="ADG71" s="17"/>
      <c r="ADH71" s="17"/>
      <c r="ADI71" s="17"/>
      <c r="ADJ71" s="17"/>
      <c r="ADK71" s="17"/>
      <c r="ADL71" s="17"/>
      <c r="ADM71" s="17"/>
      <c r="ADN71" s="17"/>
      <c r="ADO71" s="17"/>
      <c r="ADP71" s="17"/>
      <c r="ADQ71" s="17"/>
      <c r="ADR71" s="17"/>
      <c r="ADS71" s="17"/>
      <c r="ADT71" s="17"/>
      <c r="ADU71" s="17"/>
      <c r="ADV71" s="17"/>
      <c r="ADW71" s="17"/>
      <c r="ADX71" s="17"/>
      <c r="ADY71" s="17"/>
      <c r="ADZ71" s="17"/>
      <c r="AEA71" s="17"/>
      <c r="AEB71" s="17"/>
      <c r="AEC71" s="17"/>
      <c r="AED71" s="17"/>
      <c r="AEE71" s="17"/>
      <c r="AEF71" s="17"/>
      <c r="AEG71" s="17"/>
      <c r="AEH71" s="17"/>
      <c r="AEI71" s="17"/>
      <c r="AEJ71" s="17"/>
      <c r="AEK71" s="17"/>
      <c r="AEL71" s="17"/>
      <c r="AEM71" s="17"/>
      <c r="AEN71" s="17"/>
      <c r="AEO71" s="17"/>
      <c r="AEP71" s="17"/>
      <c r="AEQ71" s="17"/>
      <c r="AER71" s="17"/>
      <c r="AES71" s="17"/>
      <c r="AET71" s="17"/>
      <c r="AEU71" s="17"/>
      <c r="AEV71" s="17"/>
      <c r="AEW71" s="17"/>
      <c r="AEX71" s="17"/>
      <c r="AEY71" s="17"/>
      <c r="AEZ71" s="17"/>
      <c r="AFA71" s="17"/>
      <c r="AFB71" s="17"/>
      <c r="AFC71" s="17"/>
      <c r="AFD71" s="17"/>
      <c r="AFE71" s="17"/>
      <c r="AFF71" s="17"/>
      <c r="AFG71" s="17"/>
      <c r="AFH71" s="17"/>
      <c r="AFI71" s="17"/>
      <c r="AFJ71" s="17"/>
    </row>
    <row r="72" spans="1:842" s="112" customFormat="1" x14ac:dyDescent="0.25">
      <c r="A72" s="274" t="s">
        <v>196</v>
      </c>
      <c r="B72" s="272" t="s">
        <v>52</v>
      </c>
      <c r="C72" s="273">
        <v>102</v>
      </c>
      <c r="D72" s="348">
        <v>6.8</v>
      </c>
      <c r="E72" s="348">
        <v>4.5999999999999996</v>
      </c>
      <c r="F72" s="349">
        <v>3.2</v>
      </c>
      <c r="G72" s="349">
        <v>3.5526315789473686</v>
      </c>
      <c r="H72" s="349">
        <v>3.5624999375000002</v>
      </c>
      <c r="I72" s="349">
        <v>3.5299999</v>
      </c>
      <c r="J72" s="519">
        <v>146.80000000000001</v>
      </c>
      <c r="K72" s="519">
        <v>146.80000000000001</v>
      </c>
      <c r="L72" s="519">
        <v>147.75</v>
      </c>
      <c r="M72" s="519">
        <v>145.4</v>
      </c>
      <c r="N72" s="519">
        <v>145.4</v>
      </c>
      <c r="O72" s="519">
        <v>144</v>
      </c>
      <c r="P72" s="360">
        <v>8.8200000000000001E-2</v>
      </c>
      <c r="Q72" s="360">
        <v>4.3499999999999997E-2</v>
      </c>
      <c r="R72" s="360">
        <v>6.25E-2</v>
      </c>
      <c r="S72" s="332">
        <v>0.5</v>
      </c>
      <c r="T72" s="332">
        <v>0.16669999999999999</v>
      </c>
      <c r="U72" s="513">
        <v>0</v>
      </c>
      <c r="V72" s="408">
        <v>1</v>
      </c>
      <c r="W72" s="408">
        <v>0</v>
      </c>
      <c r="X72" s="334">
        <v>12</v>
      </c>
      <c r="Y72" s="510">
        <v>0.8</v>
      </c>
      <c r="Z72" s="341">
        <v>9</v>
      </c>
      <c r="AA72" s="341">
        <v>0</v>
      </c>
      <c r="AB72" s="341">
        <v>0</v>
      </c>
      <c r="AC72" s="341">
        <v>9</v>
      </c>
      <c r="AD72" s="72">
        <v>11</v>
      </c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</row>
    <row r="73" spans="1:842" s="112" customFormat="1" x14ac:dyDescent="0.25">
      <c r="A73" s="271" t="s">
        <v>53</v>
      </c>
      <c r="B73" s="272" t="s">
        <v>54</v>
      </c>
      <c r="C73" s="273">
        <v>77</v>
      </c>
      <c r="D73" s="348">
        <v>89.4</v>
      </c>
      <c r="E73" s="348">
        <v>22.6</v>
      </c>
      <c r="F73" s="349">
        <v>14</v>
      </c>
      <c r="G73" s="349">
        <v>3.46</v>
      </c>
      <c r="H73" s="349">
        <v>3.55</v>
      </c>
      <c r="I73" s="349">
        <v>3.5</v>
      </c>
      <c r="J73" s="519">
        <v>153.20547945205479</v>
      </c>
      <c r="K73" s="519">
        <v>154.21428571428572</v>
      </c>
      <c r="L73" s="519">
        <v>153.91891891891891</v>
      </c>
      <c r="M73" s="519">
        <v>152.81095890410958</v>
      </c>
      <c r="N73" s="519">
        <v>154.1875</v>
      </c>
      <c r="O73" s="519">
        <v>154.13513513513513</v>
      </c>
      <c r="P73" s="360">
        <v>0.1051</v>
      </c>
      <c r="Q73" s="360">
        <v>8.8499999999999995E-2</v>
      </c>
      <c r="R73" s="360">
        <v>0.1143</v>
      </c>
      <c r="S73" s="332">
        <v>0.4345</v>
      </c>
      <c r="T73" s="332">
        <v>0.39560000000000001</v>
      </c>
      <c r="U73" s="514">
        <v>6</v>
      </c>
      <c r="V73" s="411">
        <v>0.33333333333333331</v>
      </c>
      <c r="W73" s="411">
        <v>0.66666666666666663</v>
      </c>
      <c r="X73" s="336">
        <v>69</v>
      </c>
      <c r="Y73" s="510">
        <v>0.89610389610389607</v>
      </c>
      <c r="Z73" s="341">
        <v>34</v>
      </c>
      <c r="AA73" s="341">
        <v>3</v>
      </c>
      <c r="AB73" s="341">
        <v>20</v>
      </c>
      <c r="AC73" s="341">
        <v>57</v>
      </c>
      <c r="AD73" s="72">
        <v>73</v>
      </c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</row>
    <row r="74" spans="1:842" s="112" customFormat="1" x14ac:dyDescent="0.25">
      <c r="A74" s="271" t="s">
        <v>55</v>
      </c>
      <c r="B74" s="272" t="s">
        <v>56</v>
      </c>
      <c r="C74" s="273">
        <v>92</v>
      </c>
      <c r="D74" s="348">
        <v>75</v>
      </c>
      <c r="E74" s="348">
        <v>27.8</v>
      </c>
      <c r="F74" s="349">
        <v>10.6</v>
      </c>
      <c r="G74" s="349">
        <v>3.5</v>
      </c>
      <c r="H74" s="349">
        <v>3.54</v>
      </c>
      <c r="I74" s="349">
        <v>3.48</v>
      </c>
      <c r="J74" s="519">
        <v>151.77134146341464</v>
      </c>
      <c r="K74" s="519">
        <v>153.29197080291971</v>
      </c>
      <c r="L74" s="519">
        <v>151.26415094339623</v>
      </c>
      <c r="M74" s="519">
        <v>156.07621951219511</v>
      </c>
      <c r="N74" s="519">
        <v>159.16058394160584</v>
      </c>
      <c r="O74" s="519">
        <v>158.77358490566039</v>
      </c>
      <c r="P74" s="360">
        <v>8.7999999999999995E-2</v>
      </c>
      <c r="Q74" s="360">
        <v>6.4699999999999994E-2</v>
      </c>
      <c r="R74" s="360">
        <v>9.4299999999999995E-2</v>
      </c>
      <c r="S74" s="332">
        <v>0.67630000000000001</v>
      </c>
      <c r="T74" s="332">
        <v>0.45660000000000001</v>
      </c>
      <c r="U74" s="514">
        <v>7</v>
      </c>
      <c r="V74" s="411">
        <v>0</v>
      </c>
      <c r="W74" s="411">
        <v>1</v>
      </c>
      <c r="X74" s="336">
        <v>51</v>
      </c>
      <c r="Y74" s="510">
        <v>0.80952380952380953</v>
      </c>
      <c r="Z74" s="341">
        <v>57</v>
      </c>
      <c r="AA74" s="341">
        <v>7</v>
      </c>
      <c r="AB74" s="341">
        <v>0</v>
      </c>
      <c r="AC74" s="341">
        <v>64</v>
      </c>
      <c r="AD74" s="72">
        <v>76</v>
      </c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</row>
    <row r="75" spans="1:842" x14ac:dyDescent="0.25">
      <c r="A75" s="271" t="s">
        <v>94</v>
      </c>
      <c r="B75" s="272" t="s">
        <v>58</v>
      </c>
      <c r="C75" s="273">
        <v>492</v>
      </c>
      <c r="D75" s="348">
        <v>22.6</v>
      </c>
      <c r="E75" s="348">
        <v>7.6</v>
      </c>
      <c r="F75" s="349">
        <v>5.6</v>
      </c>
      <c r="G75" s="349">
        <v>3.5057140571428569</v>
      </c>
      <c r="H75" s="349">
        <v>3.55499995</v>
      </c>
      <c r="I75" s="349">
        <v>3.5071428571428571</v>
      </c>
      <c r="J75" s="519">
        <v>157.66666666666666</v>
      </c>
      <c r="K75" s="519">
        <v>156.89473684210526</v>
      </c>
      <c r="L75" s="519">
        <v>156.41379310344828</v>
      </c>
      <c r="M75" s="519">
        <v>153.35483870967741</v>
      </c>
      <c r="N75" s="519">
        <v>155.44736842105263</v>
      </c>
      <c r="O75" s="519">
        <v>154.72413793103448</v>
      </c>
      <c r="P75" s="360">
        <v>6.1899999999999997E-2</v>
      </c>
      <c r="Q75" s="360">
        <v>5.2600000000000001E-2</v>
      </c>
      <c r="R75" s="360">
        <v>7.1400000000000005E-2</v>
      </c>
      <c r="S75" s="332">
        <v>0.4365</v>
      </c>
      <c r="T75" s="332">
        <v>0.54759999999999998</v>
      </c>
      <c r="U75" s="513">
        <v>3</v>
      </c>
      <c r="V75" s="410">
        <v>0</v>
      </c>
      <c r="W75" s="410">
        <v>0</v>
      </c>
      <c r="X75" s="334">
        <v>25</v>
      </c>
      <c r="Y75" s="510">
        <v>0.96153846153846156</v>
      </c>
      <c r="Z75" s="341">
        <v>1</v>
      </c>
      <c r="AA75" s="341">
        <v>1</v>
      </c>
      <c r="AB75" s="341">
        <v>4</v>
      </c>
      <c r="AC75" s="341">
        <v>6</v>
      </c>
      <c r="AD75" s="468">
        <v>6</v>
      </c>
    </row>
    <row r="76" spans="1:842" x14ac:dyDescent="0.25">
      <c r="A76" s="279" t="s">
        <v>85</v>
      </c>
      <c r="B76" s="272" t="s">
        <v>88</v>
      </c>
      <c r="C76" s="273">
        <v>455</v>
      </c>
      <c r="D76" s="348">
        <v>20</v>
      </c>
      <c r="E76" s="348">
        <v>3.2</v>
      </c>
      <c r="F76" s="349">
        <v>3</v>
      </c>
      <c r="G76" s="349">
        <v>3.2608695217391306</v>
      </c>
      <c r="H76" s="349">
        <v>3.3874997499999999</v>
      </c>
      <c r="I76" s="349">
        <v>3.3874997499999999</v>
      </c>
      <c r="J76" s="519">
        <v>155.87012987012986</v>
      </c>
      <c r="K76" s="519">
        <v>153.80000000000001</v>
      </c>
      <c r="L76" s="519">
        <v>154.16666666666666</v>
      </c>
      <c r="M76" s="519">
        <v>152.65</v>
      </c>
      <c r="N76" s="519">
        <v>155.19999999999999</v>
      </c>
      <c r="O76" s="519">
        <v>155.94</v>
      </c>
      <c r="P76" s="360">
        <v>0.15</v>
      </c>
      <c r="Q76" s="360">
        <v>0.25</v>
      </c>
      <c r="R76" s="360">
        <v>0.26669999999999999</v>
      </c>
      <c r="S76" s="332">
        <v>0.57609999999999995</v>
      </c>
      <c r="T76" s="332">
        <v>0.28260000000000002</v>
      </c>
      <c r="U76" s="514">
        <v>4</v>
      </c>
      <c r="V76" s="411">
        <v>0</v>
      </c>
      <c r="W76" s="411">
        <v>0</v>
      </c>
      <c r="X76" s="72">
        <v>19</v>
      </c>
      <c r="Y76" s="510">
        <v>0.79166666666666663</v>
      </c>
      <c r="Z76" s="341">
        <v>1</v>
      </c>
      <c r="AA76" s="341">
        <v>1</v>
      </c>
      <c r="AB76" s="341">
        <v>1</v>
      </c>
      <c r="AC76" s="341">
        <v>3</v>
      </c>
      <c r="AD76" s="72">
        <v>3</v>
      </c>
    </row>
    <row r="77" spans="1:842" x14ac:dyDescent="0.25">
      <c r="A77" s="271" t="s">
        <v>59</v>
      </c>
      <c r="B77" s="272" t="s">
        <v>60</v>
      </c>
      <c r="C77" s="273">
        <v>105</v>
      </c>
      <c r="D77" s="348">
        <v>14.4</v>
      </c>
      <c r="E77" s="348">
        <v>6</v>
      </c>
      <c r="F77" s="349">
        <v>4.5999999999999996</v>
      </c>
      <c r="G77" s="349">
        <v>3.66</v>
      </c>
      <c r="H77" s="349">
        <v>3.75</v>
      </c>
      <c r="I77" s="349">
        <v>3.72</v>
      </c>
      <c r="J77" s="519">
        <v>147.13461538461539</v>
      </c>
      <c r="K77" s="519">
        <v>146.15384615384616</v>
      </c>
      <c r="L77" s="519">
        <v>146</v>
      </c>
      <c r="M77" s="519">
        <v>150.23076923076923</v>
      </c>
      <c r="N77" s="519">
        <v>152.5</v>
      </c>
      <c r="O77" s="519">
        <v>153.36363636363637</v>
      </c>
      <c r="P77" s="360">
        <v>9.7199999999999995E-2</v>
      </c>
      <c r="Q77" s="360">
        <v>0.1</v>
      </c>
      <c r="R77" s="360">
        <v>0</v>
      </c>
      <c r="S77" s="332">
        <v>0.91020000000000001</v>
      </c>
      <c r="T77" s="332">
        <v>2.9899999999999999E-2</v>
      </c>
      <c r="U77" s="514">
        <v>1</v>
      </c>
      <c r="V77" s="411">
        <v>1</v>
      </c>
      <c r="W77" s="411">
        <v>0</v>
      </c>
      <c r="X77" s="336">
        <v>5</v>
      </c>
      <c r="Y77" s="510">
        <v>0.15151515151515152</v>
      </c>
      <c r="Z77" s="341">
        <v>10</v>
      </c>
      <c r="AA77" s="341">
        <v>13</v>
      </c>
      <c r="AB77" s="341">
        <v>2</v>
      </c>
      <c r="AC77" s="341">
        <v>25</v>
      </c>
      <c r="AD77" s="72">
        <v>24</v>
      </c>
    </row>
    <row r="78" spans="1:842" x14ac:dyDescent="0.25">
      <c r="A78" s="271" t="s">
        <v>61</v>
      </c>
      <c r="B78" s="272" t="s">
        <v>62</v>
      </c>
      <c r="C78" s="273">
        <v>107</v>
      </c>
      <c r="D78" s="348">
        <v>205.4</v>
      </c>
      <c r="E78" s="348">
        <v>21.2</v>
      </c>
      <c r="F78" s="349">
        <v>17.8</v>
      </c>
      <c r="G78" s="349">
        <v>3.36</v>
      </c>
      <c r="H78" s="349">
        <v>3.49</v>
      </c>
      <c r="I78" s="349">
        <v>3.48</v>
      </c>
      <c r="J78" s="519">
        <v>158.53971962616822</v>
      </c>
      <c r="K78" s="519">
        <v>157.26732673267327</v>
      </c>
      <c r="L78" s="519">
        <v>156.93478260869566</v>
      </c>
      <c r="M78" s="519">
        <v>151.97546728971963</v>
      </c>
      <c r="N78" s="519">
        <v>153.20792079207922</v>
      </c>
      <c r="O78" s="519">
        <v>152.39130434782609</v>
      </c>
      <c r="P78" s="360">
        <v>3.9899999999999998E-2</v>
      </c>
      <c r="Q78" s="360">
        <v>6.6000000000000003E-2</v>
      </c>
      <c r="R78" s="360">
        <v>5.62E-2</v>
      </c>
      <c r="S78" s="332">
        <v>0.53810000000000002</v>
      </c>
      <c r="T78" s="332">
        <v>0.61170000000000002</v>
      </c>
      <c r="U78" s="514">
        <v>2</v>
      </c>
      <c r="V78" s="411">
        <v>0.25</v>
      </c>
      <c r="W78" s="411">
        <v>0.5</v>
      </c>
      <c r="X78" s="336">
        <v>64</v>
      </c>
      <c r="Y78" s="510">
        <v>0.76190476190476186</v>
      </c>
      <c r="Z78" s="341">
        <v>9</v>
      </c>
      <c r="AA78" s="341">
        <v>32</v>
      </c>
      <c r="AB78" s="341">
        <v>28</v>
      </c>
      <c r="AC78" s="341">
        <v>69</v>
      </c>
      <c r="AD78" s="72">
        <v>77</v>
      </c>
    </row>
    <row r="79" spans="1:842" x14ac:dyDescent="0.25">
      <c r="A79" s="271" t="s">
        <v>22</v>
      </c>
      <c r="B79" s="272" t="s">
        <v>167</v>
      </c>
      <c r="C79" s="273" t="s">
        <v>165</v>
      </c>
      <c r="D79" s="348">
        <v>11.8</v>
      </c>
      <c r="E79" s="348">
        <v>5.6</v>
      </c>
      <c r="F79" s="349">
        <v>4</v>
      </c>
      <c r="G79" s="349">
        <v>3.56</v>
      </c>
      <c r="H79" s="349">
        <v>3.69</v>
      </c>
      <c r="I79" s="349">
        <v>3.68</v>
      </c>
      <c r="J79" s="519">
        <v>150.95652173913044</v>
      </c>
      <c r="K79" s="519">
        <v>149.33333333333334</v>
      </c>
      <c r="L79" s="519">
        <v>148.89473684210526</v>
      </c>
      <c r="M79" s="519">
        <v>151.45652173913044</v>
      </c>
      <c r="N79" s="519">
        <v>150.74074074074073</v>
      </c>
      <c r="O79" s="519">
        <v>148.89473684210526</v>
      </c>
      <c r="P79" s="360">
        <v>0.1525</v>
      </c>
      <c r="Q79" s="360">
        <v>0.1429</v>
      </c>
      <c r="R79" s="360">
        <v>0.2</v>
      </c>
      <c r="S79" s="332">
        <v>0.81820000000000004</v>
      </c>
      <c r="T79" s="332">
        <v>0.37330000000000002</v>
      </c>
      <c r="U79" s="513">
        <v>6</v>
      </c>
      <c r="V79" s="410">
        <v>0</v>
      </c>
      <c r="W79" s="410">
        <v>1</v>
      </c>
      <c r="X79" s="334">
        <v>17</v>
      </c>
      <c r="Y79" s="510">
        <v>0.77272727272727271</v>
      </c>
      <c r="Z79" s="341">
        <v>10</v>
      </c>
      <c r="AA79" s="341">
        <v>1</v>
      </c>
      <c r="AB79" s="341">
        <v>3</v>
      </c>
      <c r="AC79" s="341">
        <v>14</v>
      </c>
      <c r="AD79" s="72">
        <v>16</v>
      </c>
    </row>
    <row r="80" spans="1:842" x14ac:dyDescent="0.25">
      <c r="A80" s="271" t="s">
        <v>65</v>
      </c>
      <c r="B80" s="272" t="s">
        <v>63</v>
      </c>
      <c r="C80" s="273">
        <v>79</v>
      </c>
      <c r="D80" s="348">
        <v>17.600000000000001</v>
      </c>
      <c r="E80" s="348">
        <v>4.2</v>
      </c>
      <c r="F80" s="349">
        <v>2.8</v>
      </c>
      <c r="G80" s="349">
        <v>3.44</v>
      </c>
      <c r="H80" s="349">
        <v>3.42</v>
      </c>
      <c r="I80" s="349">
        <v>3.44</v>
      </c>
      <c r="J80" s="519">
        <v>153.359375</v>
      </c>
      <c r="K80" s="519">
        <v>153.72222222222223</v>
      </c>
      <c r="L80" s="519">
        <v>152</v>
      </c>
      <c r="M80" s="519">
        <v>151.546875</v>
      </c>
      <c r="N80" s="519">
        <v>155.72222222222223</v>
      </c>
      <c r="O80" s="519">
        <v>153.46153846153845</v>
      </c>
      <c r="P80" s="360">
        <v>9.0899999999999995E-2</v>
      </c>
      <c r="Q80" s="360">
        <v>0.1429</v>
      </c>
      <c r="R80" s="360">
        <v>0.21429999999999999</v>
      </c>
      <c r="S80" s="332">
        <v>0.46789999999999998</v>
      </c>
      <c r="T80" s="332">
        <v>0.2661</v>
      </c>
      <c r="U80" s="513">
        <v>4</v>
      </c>
      <c r="V80" s="410">
        <v>0.5</v>
      </c>
      <c r="W80" s="410">
        <v>0.5</v>
      </c>
      <c r="X80" s="334">
        <v>10</v>
      </c>
      <c r="Y80" s="510">
        <v>0.58823529411764708</v>
      </c>
      <c r="Z80" s="341">
        <v>6</v>
      </c>
      <c r="AA80" s="341">
        <v>6</v>
      </c>
      <c r="AB80" s="341">
        <v>4</v>
      </c>
      <c r="AC80" s="341">
        <v>16</v>
      </c>
      <c r="AD80" s="72">
        <v>16</v>
      </c>
    </row>
    <row r="81" spans="1:842" x14ac:dyDescent="0.25">
      <c r="A81" s="271" t="s">
        <v>23</v>
      </c>
      <c r="B81" s="272" t="s">
        <v>63</v>
      </c>
      <c r="C81" s="273">
        <v>115</v>
      </c>
      <c r="D81" s="348">
        <v>327.60000000000002</v>
      </c>
      <c r="E81" s="348">
        <v>16.8</v>
      </c>
      <c r="F81" s="349">
        <v>15.2</v>
      </c>
      <c r="G81" s="349">
        <v>3.64</v>
      </c>
      <c r="H81" s="349">
        <v>3.75</v>
      </c>
      <c r="I81" s="349">
        <v>3.75</v>
      </c>
      <c r="J81" s="519">
        <v>152.61418347430057</v>
      </c>
      <c r="K81" s="519">
        <v>154.71428571428572</v>
      </c>
      <c r="L81" s="519">
        <v>154.97826086956522</v>
      </c>
      <c r="M81" s="519">
        <v>156.98568640208197</v>
      </c>
      <c r="N81" s="519">
        <v>160.4047619047619</v>
      </c>
      <c r="O81" s="519">
        <v>159.57608695652175</v>
      </c>
      <c r="P81" s="360">
        <v>0.1862</v>
      </c>
      <c r="Q81" s="360">
        <v>0.25</v>
      </c>
      <c r="R81" s="360">
        <v>0.23680000000000001</v>
      </c>
      <c r="S81" s="332">
        <v>0.73450000000000004</v>
      </c>
      <c r="T81" s="332">
        <v>1.49E-2</v>
      </c>
      <c r="U81" s="513">
        <v>18</v>
      </c>
      <c r="V81" s="410">
        <v>0</v>
      </c>
      <c r="W81" s="410">
        <v>1</v>
      </c>
      <c r="X81" s="334">
        <v>63</v>
      </c>
      <c r="Y81" s="510">
        <v>0.75903614457831325</v>
      </c>
      <c r="Z81" s="341">
        <v>8</v>
      </c>
      <c r="AA81" s="341">
        <v>5</v>
      </c>
      <c r="AB81" s="341">
        <v>26</v>
      </c>
      <c r="AC81" s="341">
        <v>39</v>
      </c>
      <c r="AD81" s="72">
        <v>70</v>
      </c>
    </row>
    <row r="82" spans="1:842" x14ac:dyDescent="0.25">
      <c r="A82" s="271" t="s">
        <v>64</v>
      </c>
      <c r="B82" s="272" t="s">
        <v>63</v>
      </c>
      <c r="C82" s="273">
        <v>120</v>
      </c>
      <c r="D82" s="348">
        <v>23.4</v>
      </c>
      <c r="E82" s="348">
        <v>6.8</v>
      </c>
      <c r="F82" s="349">
        <v>6.2</v>
      </c>
      <c r="G82" s="349">
        <v>3.44</v>
      </c>
      <c r="H82" s="349">
        <v>3.45</v>
      </c>
      <c r="I82" s="349">
        <v>3.45</v>
      </c>
      <c r="J82" s="519">
        <v>152.29591836734693</v>
      </c>
      <c r="K82" s="519">
        <v>152.5151515151515</v>
      </c>
      <c r="L82" s="519">
        <v>152.67567567567568</v>
      </c>
      <c r="M82" s="519">
        <v>151.40816326530611</v>
      </c>
      <c r="N82" s="519">
        <v>154.5151515151515</v>
      </c>
      <c r="O82" s="519">
        <v>154.29729729729729</v>
      </c>
      <c r="P82" s="360">
        <v>0.1197</v>
      </c>
      <c r="Q82" s="360">
        <v>0.17649999999999999</v>
      </c>
      <c r="R82" s="360">
        <v>0.19350000000000001</v>
      </c>
      <c r="S82" s="332">
        <v>0.53400000000000003</v>
      </c>
      <c r="T82" s="332">
        <v>0.43459999999999999</v>
      </c>
      <c r="U82" s="513">
        <v>4</v>
      </c>
      <c r="V82" s="410">
        <v>0.5</v>
      </c>
      <c r="W82" s="410">
        <v>0.5</v>
      </c>
      <c r="X82" s="334">
        <v>25</v>
      </c>
      <c r="Y82" s="510">
        <v>0.75757575757575757</v>
      </c>
      <c r="Z82" s="341">
        <v>7</v>
      </c>
      <c r="AA82" s="341">
        <v>9</v>
      </c>
      <c r="AB82" s="341">
        <v>10</v>
      </c>
      <c r="AC82" s="341">
        <v>26</v>
      </c>
      <c r="AD82" s="72">
        <v>39</v>
      </c>
    </row>
    <row r="83" spans="1:842" x14ac:dyDescent="0.25">
      <c r="A83" s="271" t="s">
        <v>66</v>
      </c>
      <c r="B83" s="272" t="s">
        <v>67</v>
      </c>
      <c r="C83" s="273">
        <v>137</v>
      </c>
      <c r="D83" s="348">
        <v>19</v>
      </c>
      <c r="E83" s="348">
        <v>6.8</v>
      </c>
      <c r="F83" s="349">
        <v>5.6</v>
      </c>
      <c r="G83" s="349">
        <v>3.56</v>
      </c>
      <c r="H83" s="349">
        <v>3.59</v>
      </c>
      <c r="I83" s="349">
        <v>3.59</v>
      </c>
      <c r="J83" s="519">
        <v>156.61194029850745</v>
      </c>
      <c r="K83" s="519">
        <v>153.63636363636363</v>
      </c>
      <c r="L83" s="519">
        <v>153.55000000000001</v>
      </c>
      <c r="M83" s="519">
        <v>153.23880597014926</v>
      </c>
      <c r="N83" s="519">
        <v>153.18181818181819</v>
      </c>
      <c r="O83" s="519">
        <v>153.85</v>
      </c>
      <c r="P83" s="360">
        <v>3.1600000000000003E-2</v>
      </c>
      <c r="Q83" s="360">
        <v>0</v>
      </c>
      <c r="R83" s="360">
        <v>0</v>
      </c>
      <c r="S83" s="332">
        <v>0.69440000000000002</v>
      </c>
      <c r="T83" s="332">
        <v>0.33329999999999999</v>
      </c>
      <c r="U83" s="514">
        <v>2</v>
      </c>
      <c r="V83" s="411">
        <v>0</v>
      </c>
      <c r="W83" s="411">
        <v>1</v>
      </c>
      <c r="X83" s="336">
        <v>27</v>
      </c>
      <c r="Y83" s="510">
        <v>0.84375</v>
      </c>
      <c r="Z83" s="341">
        <v>5</v>
      </c>
      <c r="AA83" s="341">
        <v>4</v>
      </c>
      <c r="AB83" s="341">
        <v>4</v>
      </c>
      <c r="AC83" s="341">
        <v>13</v>
      </c>
      <c r="AD83" s="72">
        <v>42</v>
      </c>
    </row>
    <row r="84" spans="1:842" x14ac:dyDescent="0.25">
      <c r="A84" s="375"/>
      <c r="B84" s="376"/>
      <c r="C84" s="364"/>
      <c r="D84" s="365"/>
      <c r="E84" s="365"/>
      <c r="F84" s="365"/>
      <c r="G84" s="524"/>
      <c r="H84" s="524"/>
      <c r="I84" s="524"/>
      <c r="J84" s="524"/>
      <c r="K84" s="524"/>
      <c r="L84" s="524"/>
      <c r="M84" s="525"/>
      <c r="N84" s="525"/>
      <c r="O84" s="525"/>
      <c r="P84" s="365"/>
      <c r="Q84" s="365"/>
      <c r="R84" s="365"/>
      <c r="S84" s="344"/>
      <c r="T84" s="343"/>
      <c r="U84" s="366"/>
      <c r="V84" s="416"/>
      <c r="W84" s="416"/>
      <c r="X84" s="345"/>
      <c r="Y84" s="367"/>
      <c r="Z84" s="346"/>
      <c r="AA84" s="346"/>
      <c r="AB84" s="346"/>
      <c r="AC84" s="368"/>
      <c r="AD84" s="369"/>
    </row>
    <row r="85" spans="1:842" s="112" customFormat="1" x14ac:dyDescent="0.25">
      <c r="A85" s="351"/>
      <c r="B85" s="272"/>
      <c r="C85" s="273"/>
      <c r="D85" s="526"/>
      <c r="E85" s="526"/>
      <c r="F85" s="526"/>
      <c r="G85" s="526"/>
      <c r="H85" s="526"/>
      <c r="I85" s="526"/>
      <c r="J85" s="526"/>
      <c r="K85" s="526"/>
      <c r="L85" s="526"/>
      <c r="M85" s="527"/>
      <c r="N85" s="527"/>
      <c r="O85" s="527"/>
      <c r="P85" s="370"/>
      <c r="Q85" s="370"/>
      <c r="R85" s="370"/>
      <c r="S85" s="347"/>
      <c r="T85" s="332"/>
      <c r="U85" s="515"/>
      <c r="V85" s="417"/>
      <c r="W85" s="417"/>
      <c r="X85" s="11"/>
      <c r="Y85" s="511"/>
      <c r="Z85" s="341"/>
      <c r="AA85" s="341"/>
      <c r="AB85" s="341"/>
      <c r="AC85" s="371"/>
      <c r="AD85" s="356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</row>
    <row r="86" spans="1:842" s="112" customFormat="1" x14ac:dyDescent="0.25">
      <c r="A86" s="351"/>
      <c r="B86" s="272"/>
      <c r="C86" s="273"/>
      <c r="D86" s="526"/>
      <c r="E86" s="526"/>
      <c r="F86" s="526"/>
      <c r="G86" s="526"/>
      <c r="H86" s="526"/>
      <c r="I86" s="526"/>
      <c r="J86" s="526"/>
      <c r="K86" s="526"/>
      <c r="L86" s="526"/>
      <c r="M86" s="527"/>
      <c r="N86" s="527"/>
      <c r="O86" s="527"/>
      <c r="P86" s="370"/>
      <c r="Q86" s="370"/>
      <c r="R86" s="370"/>
      <c r="S86" s="347"/>
      <c r="T86" s="332"/>
      <c r="U86" s="515"/>
      <c r="V86" s="417"/>
      <c r="W86" s="417"/>
      <c r="X86" s="11"/>
      <c r="Y86" s="511"/>
      <c r="Z86" s="341"/>
      <c r="AA86" s="341"/>
      <c r="AB86" s="341"/>
      <c r="AC86" s="371"/>
      <c r="AD86" s="35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</row>
    <row r="87" spans="1:842" x14ac:dyDescent="0.25">
      <c r="A87" s="711" t="s">
        <v>68</v>
      </c>
      <c r="B87" s="272"/>
      <c r="C87" s="273"/>
      <c r="D87" s="526"/>
      <c r="E87" s="526"/>
      <c r="F87" s="526"/>
      <c r="G87" s="526"/>
      <c r="H87" s="526"/>
      <c r="I87" s="526"/>
      <c r="J87" s="526"/>
      <c r="K87" s="526"/>
      <c r="L87" s="526"/>
      <c r="M87" s="527"/>
      <c r="N87" s="527"/>
      <c r="O87" s="527"/>
      <c r="P87" s="370"/>
      <c r="Q87" s="370"/>
      <c r="R87" s="370"/>
      <c r="S87" s="347"/>
      <c r="T87" s="332"/>
      <c r="U87" s="515"/>
      <c r="V87" s="417"/>
      <c r="W87" s="417"/>
      <c r="X87" s="11"/>
      <c r="Y87" s="511"/>
      <c r="Z87" s="341"/>
      <c r="AA87" s="341"/>
      <c r="AB87" s="341"/>
      <c r="AC87" s="371"/>
      <c r="AD87" s="356"/>
    </row>
    <row r="88" spans="1:842" x14ac:dyDescent="0.25">
      <c r="A88" s="279" t="s">
        <v>87</v>
      </c>
      <c r="B88" s="272" t="s">
        <v>63</v>
      </c>
      <c r="C88" s="273">
        <v>501</v>
      </c>
      <c r="D88" s="348">
        <v>24.8</v>
      </c>
      <c r="E88" s="348">
        <v>3.2</v>
      </c>
      <c r="F88" s="349">
        <v>2.2000000000000002</v>
      </c>
      <c r="G88" s="349">
        <v>3.3470584705882351</v>
      </c>
      <c r="H88" s="349">
        <v>3.45</v>
      </c>
      <c r="I88" s="349">
        <v>3.45</v>
      </c>
      <c r="J88" s="519">
        <v>162.35238095238094</v>
      </c>
      <c r="K88" s="519">
        <v>165.07692307692307</v>
      </c>
      <c r="L88" s="519">
        <v>165.27272727272728</v>
      </c>
      <c r="M88" s="519">
        <v>152.35238095238094</v>
      </c>
      <c r="N88" s="519">
        <v>157.92307692307693</v>
      </c>
      <c r="O88" s="519">
        <v>156.27272727272728</v>
      </c>
      <c r="P88" s="360">
        <v>3.2300000000000002E-2</v>
      </c>
      <c r="Q88" s="360">
        <v>6.25E-2</v>
      </c>
      <c r="R88" s="360">
        <v>9.0899999999999995E-2</v>
      </c>
      <c r="S88" s="332">
        <v>0.47270000000000001</v>
      </c>
      <c r="T88" s="332">
        <v>0.69089999999999996</v>
      </c>
      <c r="U88" s="513">
        <v>1</v>
      </c>
      <c r="V88" s="410">
        <v>0</v>
      </c>
      <c r="W88" s="410">
        <v>0</v>
      </c>
      <c r="X88" s="334">
        <v>15</v>
      </c>
      <c r="Y88" s="512">
        <v>0.9375</v>
      </c>
      <c r="Z88" s="341">
        <v>0</v>
      </c>
      <c r="AA88" s="341">
        <v>1</v>
      </c>
      <c r="AB88" s="341">
        <v>1</v>
      </c>
      <c r="AC88" s="341">
        <v>2</v>
      </c>
      <c r="AD88" s="72">
        <v>2</v>
      </c>
    </row>
    <row r="89" spans="1:842" x14ac:dyDescent="0.25">
      <c r="A89" s="279" t="s">
        <v>86</v>
      </c>
      <c r="B89" s="272" t="s">
        <v>5</v>
      </c>
      <c r="C89" s="273">
        <v>519</v>
      </c>
      <c r="D89" s="348" t="s">
        <v>273</v>
      </c>
      <c r="E89" s="348" t="s">
        <v>273</v>
      </c>
      <c r="F89" s="348" t="s">
        <v>273</v>
      </c>
      <c r="G89" s="348" t="s">
        <v>273</v>
      </c>
      <c r="H89" s="348" t="s">
        <v>273</v>
      </c>
      <c r="I89" s="348" t="s">
        <v>273</v>
      </c>
      <c r="J89" s="348" t="s">
        <v>273</v>
      </c>
      <c r="K89" s="348" t="s">
        <v>273</v>
      </c>
      <c r="L89" s="348" t="s">
        <v>273</v>
      </c>
      <c r="M89" s="348" t="s">
        <v>273</v>
      </c>
      <c r="N89" s="348" t="s">
        <v>273</v>
      </c>
      <c r="O89" s="348" t="s">
        <v>273</v>
      </c>
      <c r="P89" s="348" t="s">
        <v>273</v>
      </c>
      <c r="Q89" s="348" t="s">
        <v>273</v>
      </c>
      <c r="R89" s="348" t="s">
        <v>273</v>
      </c>
      <c r="S89" s="332">
        <v>0.61799999999999999</v>
      </c>
      <c r="T89" s="332">
        <v>0.50560000000000005</v>
      </c>
      <c r="U89" s="513">
        <v>2</v>
      </c>
      <c r="V89" s="410">
        <v>0</v>
      </c>
      <c r="W89" s="410">
        <v>0</v>
      </c>
      <c r="X89" s="334">
        <v>18</v>
      </c>
      <c r="Y89" s="512">
        <v>0.72</v>
      </c>
      <c r="Z89" s="341">
        <v>1</v>
      </c>
      <c r="AA89" s="341">
        <v>1</v>
      </c>
      <c r="AB89" s="341">
        <v>5</v>
      </c>
      <c r="AC89" s="341">
        <v>7</v>
      </c>
      <c r="AD89" s="72">
        <v>13</v>
      </c>
    </row>
    <row r="90" spans="1:842" x14ac:dyDescent="0.25">
      <c r="A90" s="274" t="s">
        <v>168</v>
      </c>
      <c r="B90" s="272" t="s">
        <v>63</v>
      </c>
      <c r="C90" s="273">
        <v>116</v>
      </c>
      <c r="D90" s="348">
        <v>10.8</v>
      </c>
      <c r="E90" s="348">
        <v>4.4000000000000004</v>
      </c>
      <c r="F90" s="349">
        <v>2.6</v>
      </c>
      <c r="G90" s="349">
        <v>3.5333326666666665</v>
      </c>
      <c r="H90" s="349">
        <v>3.4888888888888889</v>
      </c>
      <c r="I90" s="349">
        <v>3.5571425714285714</v>
      </c>
      <c r="J90" s="519">
        <v>152.05405405405406</v>
      </c>
      <c r="K90" s="519">
        <v>153.80000000000001</v>
      </c>
      <c r="L90" s="519">
        <v>150.41666666666666</v>
      </c>
      <c r="M90" s="519">
        <v>149.43243243243242</v>
      </c>
      <c r="N90" s="519">
        <v>151.19999999999999</v>
      </c>
      <c r="O90" s="519">
        <v>149.5</v>
      </c>
      <c r="P90" s="360">
        <v>0.1852</v>
      </c>
      <c r="Q90" s="360">
        <v>4.5499999999999999E-2</v>
      </c>
      <c r="R90" s="360">
        <v>7.6899999999999996E-2</v>
      </c>
      <c r="S90" s="332">
        <v>0.68830000000000002</v>
      </c>
      <c r="T90" s="332">
        <v>0.1948</v>
      </c>
      <c r="U90" s="513">
        <v>9</v>
      </c>
      <c r="V90" s="410">
        <v>0</v>
      </c>
      <c r="W90" s="410">
        <v>0</v>
      </c>
      <c r="X90" s="334">
        <v>29</v>
      </c>
      <c r="Y90" s="512">
        <v>0.82857142857142863</v>
      </c>
      <c r="Z90" s="341">
        <v>1</v>
      </c>
      <c r="AA90" s="341">
        <v>0</v>
      </c>
      <c r="AB90" s="341">
        <v>0</v>
      </c>
      <c r="AC90" s="341">
        <v>1</v>
      </c>
      <c r="AD90" s="72">
        <v>1</v>
      </c>
    </row>
    <row r="91" spans="1:842" x14ac:dyDescent="0.25">
      <c r="A91" s="377"/>
      <c r="B91" s="272"/>
      <c r="C91" s="273"/>
      <c r="D91" s="348"/>
      <c r="E91" s="348"/>
      <c r="F91" s="349"/>
      <c r="G91" s="349"/>
      <c r="H91" s="349"/>
      <c r="I91" s="349"/>
      <c r="J91" s="349"/>
      <c r="K91" s="349"/>
      <c r="L91" s="349"/>
      <c r="M91" s="350"/>
      <c r="N91" s="350"/>
      <c r="O91" s="350"/>
      <c r="P91" s="351"/>
      <c r="Q91" s="351"/>
      <c r="R91" s="351"/>
      <c r="S91" s="352"/>
      <c r="T91" s="352"/>
      <c r="U91" s="516"/>
      <c r="V91" s="414"/>
      <c r="W91" s="414"/>
      <c r="X91" s="82"/>
      <c r="Y91" s="512"/>
      <c r="Z91" s="353"/>
      <c r="AA91" s="353"/>
      <c r="AB91" s="353"/>
      <c r="AC91" s="341"/>
      <c r="AD91" s="433"/>
    </row>
    <row r="92" spans="1:842" x14ac:dyDescent="0.25">
      <c r="A92" s="378" t="s">
        <v>95</v>
      </c>
      <c r="B92" s="272"/>
      <c r="C92" s="273"/>
      <c r="D92" s="348"/>
      <c r="E92" s="348"/>
      <c r="F92" s="349"/>
      <c r="G92" s="349"/>
      <c r="H92" s="349"/>
      <c r="I92" s="349"/>
      <c r="J92" s="349"/>
      <c r="K92" s="349"/>
      <c r="L92" s="349"/>
      <c r="M92" s="350"/>
      <c r="N92" s="350"/>
      <c r="O92" s="350"/>
      <c r="P92" s="351"/>
      <c r="Q92" s="351"/>
      <c r="R92" s="351"/>
      <c r="S92" s="352"/>
      <c r="T92" s="352"/>
      <c r="U92" s="516"/>
      <c r="V92" s="414"/>
      <c r="W92" s="414"/>
      <c r="X92" s="82"/>
      <c r="Y92" s="512"/>
      <c r="Z92" s="353"/>
      <c r="AA92" s="353"/>
      <c r="AB92" s="353"/>
      <c r="AC92" s="341"/>
      <c r="AD92" s="433"/>
    </row>
    <row r="93" spans="1:842" x14ac:dyDescent="0.25">
      <c r="A93" s="271" t="s">
        <v>145</v>
      </c>
      <c r="B93" s="272" t="s">
        <v>5</v>
      </c>
      <c r="C93" s="273">
        <v>84</v>
      </c>
      <c r="D93" s="348">
        <v>27.8</v>
      </c>
      <c r="E93" s="348">
        <v>9.1999999999999993</v>
      </c>
      <c r="F93" s="349">
        <v>7.8</v>
      </c>
      <c r="G93" s="349">
        <v>3.53</v>
      </c>
      <c r="H93" s="349">
        <v>3.64</v>
      </c>
      <c r="I93" s="349">
        <v>3.62</v>
      </c>
      <c r="J93" s="519">
        <v>152.27678571428572</v>
      </c>
      <c r="K93" s="519">
        <v>152.45454545454547</v>
      </c>
      <c r="L93" s="519">
        <v>151.76315789473685</v>
      </c>
      <c r="M93" s="519">
        <v>153.96428571428572</v>
      </c>
      <c r="N93" s="519">
        <v>154.56818181818181</v>
      </c>
      <c r="O93" s="519">
        <v>153.26315789473685</v>
      </c>
      <c r="P93" s="360">
        <v>0.1007</v>
      </c>
      <c r="Q93" s="360">
        <v>8.6999999999999994E-2</v>
      </c>
      <c r="R93" s="360">
        <v>0.1026</v>
      </c>
      <c r="S93" s="332">
        <v>0.55010000000000003</v>
      </c>
      <c r="T93" s="332">
        <v>0.3427</v>
      </c>
      <c r="U93" s="513">
        <v>8</v>
      </c>
      <c r="V93" s="410">
        <v>0</v>
      </c>
      <c r="W93" s="410">
        <v>1</v>
      </c>
      <c r="X93" s="334">
        <v>46</v>
      </c>
      <c r="Y93" s="512">
        <v>0.6216216216216216</v>
      </c>
      <c r="Z93" s="341">
        <v>14</v>
      </c>
      <c r="AA93" s="341">
        <v>21</v>
      </c>
      <c r="AB93" s="341">
        <v>30</v>
      </c>
      <c r="AC93" s="341">
        <v>65</v>
      </c>
      <c r="AD93" s="72">
        <v>74</v>
      </c>
    </row>
    <row r="94" spans="1:842" x14ac:dyDescent="0.25">
      <c r="A94" s="271" t="s">
        <v>7</v>
      </c>
      <c r="B94" s="272" t="s">
        <v>5</v>
      </c>
      <c r="C94" s="273">
        <v>112</v>
      </c>
      <c r="D94" s="348">
        <v>54.4</v>
      </c>
      <c r="E94" s="348">
        <v>6.8</v>
      </c>
      <c r="F94" s="349">
        <v>5.6</v>
      </c>
      <c r="G94" s="349">
        <v>3.4239996399999999</v>
      </c>
      <c r="H94" s="349">
        <v>3.5666662000000002</v>
      </c>
      <c r="I94" s="349">
        <v>3.5545449090909091</v>
      </c>
      <c r="J94" s="519">
        <v>160.27916666666667</v>
      </c>
      <c r="K94" s="519">
        <v>156.85294117647058</v>
      </c>
      <c r="L94" s="519">
        <v>156.66666666666666</v>
      </c>
      <c r="M94" s="519">
        <v>152.76666666666668</v>
      </c>
      <c r="N94" s="519">
        <v>152.91176470588235</v>
      </c>
      <c r="O94" s="519">
        <v>152.63333333333333</v>
      </c>
      <c r="P94" s="360">
        <v>3.7000000000000002E-3</v>
      </c>
      <c r="Q94" s="360">
        <v>0</v>
      </c>
      <c r="R94" s="360">
        <v>0</v>
      </c>
      <c r="S94" s="354">
        <v>0.46829999999999999</v>
      </c>
      <c r="T94" s="354">
        <v>0.55559999999999998</v>
      </c>
      <c r="U94" s="517">
        <v>2</v>
      </c>
      <c r="V94" s="415">
        <v>0</v>
      </c>
      <c r="W94" s="415">
        <v>0</v>
      </c>
      <c r="X94" s="340">
        <v>26</v>
      </c>
      <c r="Y94" s="512">
        <v>0.96296296296296291</v>
      </c>
      <c r="Z94" s="355">
        <v>1</v>
      </c>
      <c r="AA94" s="355">
        <v>2</v>
      </c>
      <c r="AB94" s="355">
        <v>12</v>
      </c>
      <c r="AC94" s="341">
        <v>15</v>
      </c>
      <c r="AD94" s="478">
        <v>15</v>
      </c>
    </row>
    <row r="95" spans="1:842" x14ac:dyDescent="0.25">
      <c r="A95" s="271" t="s">
        <v>69</v>
      </c>
      <c r="B95" s="272" t="s">
        <v>5</v>
      </c>
      <c r="C95" s="273">
        <v>474</v>
      </c>
      <c r="D95" s="348">
        <v>4</v>
      </c>
      <c r="E95" s="348">
        <v>2</v>
      </c>
      <c r="F95" s="349">
        <v>1.8</v>
      </c>
      <c r="G95" s="349">
        <v>3.1</v>
      </c>
      <c r="H95" s="349">
        <v>3.1</v>
      </c>
      <c r="I95" s="349">
        <v>3.1</v>
      </c>
      <c r="J95" s="519">
        <v>154.9</v>
      </c>
      <c r="K95" s="519">
        <v>153.4</v>
      </c>
      <c r="L95" s="519">
        <v>152.22222222222223</v>
      </c>
      <c r="M95" s="519">
        <v>149.69999999999999</v>
      </c>
      <c r="N95" s="519">
        <v>150.9</v>
      </c>
      <c r="O95" s="519">
        <v>150.33333333333334</v>
      </c>
      <c r="P95" s="360">
        <v>0.05</v>
      </c>
      <c r="Q95" s="360">
        <v>0.1</v>
      </c>
      <c r="R95" s="360">
        <v>0.1111</v>
      </c>
      <c r="S95" s="332">
        <v>0.59319999999999995</v>
      </c>
      <c r="T95" s="332">
        <v>0.59319999999999995</v>
      </c>
      <c r="U95" s="513">
        <v>2</v>
      </c>
      <c r="V95" s="410">
        <v>0</v>
      </c>
      <c r="W95" s="410">
        <v>0</v>
      </c>
      <c r="X95" s="334">
        <v>7</v>
      </c>
      <c r="Y95" s="512">
        <v>0.58333333333333337</v>
      </c>
      <c r="Z95" s="341">
        <v>2</v>
      </c>
      <c r="AA95" s="341">
        <v>1</v>
      </c>
      <c r="AB95" s="341">
        <v>9</v>
      </c>
      <c r="AC95" s="341">
        <v>12</v>
      </c>
      <c r="AD95" s="72">
        <v>17</v>
      </c>
    </row>
    <row r="96" spans="1:842" x14ac:dyDescent="0.25">
      <c r="A96" s="279" t="s">
        <v>86</v>
      </c>
      <c r="B96" s="272" t="s">
        <v>5</v>
      </c>
      <c r="C96" s="273">
        <v>519</v>
      </c>
      <c r="D96" s="348" t="s">
        <v>273</v>
      </c>
      <c r="E96" s="348" t="s">
        <v>273</v>
      </c>
      <c r="F96" s="348" t="s">
        <v>273</v>
      </c>
      <c r="G96" s="348" t="s">
        <v>273</v>
      </c>
      <c r="H96" s="348" t="s">
        <v>273</v>
      </c>
      <c r="I96" s="348" t="s">
        <v>273</v>
      </c>
      <c r="J96" s="348" t="s">
        <v>273</v>
      </c>
      <c r="K96" s="348" t="s">
        <v>273</v>
      </c>
      <c r="L96" s="348" t="s">
        <v>273</v>
      </c>
      <c r="M96" s="348" t="s">
        <v>273</v>
      </c>
      <c r="N96" s="348" t="s">
        <v>273</v>
      </c>
      <c r="O96" s="348" t="s">
        <v>273</v>
      </c>
      <c r="P96" s="348" t="s">
        <v>273</v>
      </c>
      <c r="Q96" s="348" t="s">
        <v>273</v>
      </c>
      <c r="R96" s="348" t="s">
        <v>273</v>
      </c>
      <c r="S96" s="332">
        <v>0.61799999999999999</v>
      </c>
      <c r="T96" s="332">
        <v>0.50560000000000005</v>
      </c>
      <c r="U96" s="513">
        <v>2</v>
      </c>
      <c r="V96" s="410">
        <v>0</v>
      </c>
      <c r="W96" s="410">
        <v>0</v>
      </c>
      <c r="X96" s="334">
        <v>18</v>
      </c>
      <c r="Y96" s="512">
        <v>0.72</v>
      </c>
      <c r="Z96" s="341">
        <v>1</v>
      </c>
      <c r="AA96" s="341">
        <v>1</v>
      </c>
      <c r="AB96" s="341">
        <v>5</v>
      </c>
      <c r="AC96" s="341">
        <v>7</v>
      </c>
      <c r="AD96" s="72">
        <v>13</v>
      </c>
    </row>
    <row r="97" spans="1:842" x14ac:dyDescent="0.25">
      <c r="A97" s="271" t="s">
        <v>94</v>
      </c>
      <c r="B97" s="272" t="s">
        <v>58</v>
      </c>
      <c r="C97" s="273">
        <v>492</v>
      </c>
      <c r="D97" s="348">
        <v>22.6</v>
      </c>
      <c r="E97" s="348">
        <v>7.6</v>
      </c>
      <c r="F97" s="349">
        <v>5.6</v>
      </c>
      <c r="G97" s="349">
        <v>3.5057140571428569</v>
      </c>
      <c r="H97" s="349">
        <v>3.55499995</v>
      </c>
      <c r="I97" s="349">
        <v>3.5071428571428571</v>
      </c>
      <c r="J97" s="519">
        <v>157.66666666666666</v>
      </c>
      <c r="K97" s="519">
        <v>156.89473684210526</v>
      </c>
      <c r="L97" s="519">
        <v>156.41379310344828</v>
      </c>
      <c r="M97" s="519">
        <v>153.35483870967741</v>
      </c>
      <c r="N97" s="519">
        <v>155.44736842105263</v>
      </c>
      <c r="O97" s="519">
        <v>154.72413793103448</v>
      </c>
      <c r="P97" s="360">
        <v>6.1899999999999997E-2</v>
      </c>
      <c r="Q97" s="360">
        <v>5.2600000000000001E-2</v>
      </c>
      <c r="R97" s="360">
        <v>7.1400000000000005E-2</v>
      </c>
      <c r="S97" s="332">
        <v>0.4365</v>
      </c>
      <c r="T97" s="332">
        <v>0.54759999999999998</v>
      </c>
      <c r="U97" s="513">
        <v>3</v>
      </c>
      <c r="V97" s="410">
        <v>0</v>
      </c>
      <c r="W97" s="410">
        <v>0</v>
      </c>
      <c r="X97" s="334">
        <v>25</v>
      </c>
      <c r="Y97" s="512">
        <v>0.96153846153846156</v>
      </c>
      <c r="Z97" s="341">
        <v>1</v>
      </c>
      <c r="AA97" s="341">
        <v>1</v>
      </c>
      <c r="AB97" s="341">
        <v>4</v>
      </c>
      <c r="AC97" s="341">
        <v>6</v>
      </c>
      <c r="AD97" s="468">
        <v>6</v>
      </c>
    </row>
    <row r="98" spans="1:842" x14ac:dyDescent="0.25">
      <c r="A98" s="271" t="s">
        <v>57</v>
      </c>
      <c r="B98" s="272" t="s">
        <v>58</v>
      </c>
      <c r="C98" s="273">
        <v>97</v>
      </c>
      <c r="D98" s="393">
        <v>320.2</v>
      </c>
      <c r="E98" s="393">
        <v>68.599999999999994</v>
      </c>
      <c r="F98" s="394">
        <v>41.2</v>
      </c>
      <c r="G98" s="349">
        <v>3.4348741426684279</v>
      </c>
      <c r="H98" s="349">
        <v>3.560447485074627</v>
      </c>
      <c r="I98" s="349">
        <v>3.5390408561643838</v>
      </c>
      <c r="J98" s="519">
        <v>156.87002253944402</v>
      </c>
      <c r="K98" s="519">
        <v>155.63525835866261</v>
      </c>
      <c r="L98" s="519">
        <v>155.05213270142181</v>
      </c>
      <c r="M98" s="519">
        <v>154.46055597295268</v>
      </c>
      <c r="N98" s="519">
        <v>155.48024316109422</v>
      </c>
      <c r="O98" s="519">
        <v>154.61611374407582</v>
      </c>
      <c r="P98" s="360">
        <v>0.1187</v>
      </c>
      <c r="Q98" s="360">
        <v>0.1399</v>
      </c>
      <c r="R98" s="360">
        <v>0.13589999999999999</v>
      </c>
      <c r="S98" s="332">
        <v>0.56889999999999996</v>
      </c>
      <c r="T98" s="335">
        <v>0.30590000000000001</v>
      </c>
      <c r="U98" s="513">
        <v>24</v>
      </c>
      <c r="V98" s="410">
        <v>0.3</v>
      </c>
      <c r="W98" s="410">
        <v>0.7</v>
      </c>
      <c r="X98" s="334">
        <v>185</v>
      </c>
      <c r="Y98" s="512">
        <v>0.97368421052631582</v>
      </c>
      <c r="Z98" s="341">
        <v>10</v>
      </c>
      <c r="AA98" s="341">
        <v>29</v>
      </c>
      <c r="AB98" s="341">
        <v>168</v>
      </c>
      <c r="AC98" s="341">
        <v>207</v>
      </c>
      <c r="AD98" s="72">
        <v>230</v>
      </c>
    </row>
    <row r="99" spans="1:842" x14ac:dyDescent="0.25">
      <c r="A99" s="279" t="s">
        <v>85</v>
      </c>
      <c r="B99" s="272" t="s">
        <v>88</v>
      </c>
      <c r="C99" s="273">
        <v>455</v>
      </c>
      <c r="D99" s="348">
        <v>20</v>
      </c>
      <c r="E99" s="348">
        <v>3.2</v>
      </c>
      <c r="F99" s="349">
        <v>3</v>
      </c>
      <c r="G99" s="349">
        <v>3.2608695217391306</v>
      </c>
      <c r="H99" s="349">
        <v>3.3874997499999999</v>
      </c>
      <c r="I99" s="349">
        <v>3.3874997499999999</v>
      </c>
      <c r="J99" s="519">
        <v>155.87012987012986</v>
      </c>
      <c r="K99" s="519">
        <v>153.80000000000001</v>
      </c>
      <c r="L99" s="519">
        <v>154.16666666666666</v>
      </c>
      <c r="M99" s="519">
        <v>152.65</v>
      </c>
      <c r="N99" s="519">
        <v>155.19999999999999</v>
      </c>
      <c r="O99" s="519">
        <v>155.94</v>
      </c>
      <c r="P99" s="360">
        <v>0.15</v>
      </c>
      <c r="Q99" s="360">
        <v>0.25</v>
      </c>
      <c r="R99" s="360">
        <v>0.26669999999999999</v>
      </c>
      <c r="S99" s="332">
        <v>0.57609999999999995</v>
      </c>
      <c r="T99" s="332">
        <v>0.28260000000000002</v>
      </c>
      <c r="U99" s="514">
        <v>4</v>
      </c>
      <c r="V99" s="411">
        <v>0</v>
      </c>
      <c r="W99" s="411">
        <v>0</v>
      </c>
      <c r="X99" s="72">
        <v>19</v>
      </c>
      <c r="Y99" s="512">
        <v>0.79166666666666663</v>
      </c>
      <c r="Z99" s="341">
        <v>1</v>
      </c>
      <c r="AA99" s="341">
        <v>1</v>
      </c>
      <c r="AB99" s="341">
        <v>1</v>
      </c>
      <c r="AC99" s="341">
        <v>3</v>
      </c>
      <c r="AD99" s="72">
        <v>3</v>
      </c>
    </row>
    <row r="100" spans="1:842" s="112" customFormat="1" x14ac:dyDescent="0.25">
      <c r="A100" s="351"/>
      <c r="B100" s="272"/>
      <c r="C100" s="273"/>
      <c r="D100" s="348"/>
      <c r="E100" s="348"/>
      <c r="F100" s="349"/>
      <c r="G100" s="349"/>
      <c r="H100" s="349"/>
      <c r="I100" s="349"/>
      <c r="J100" s="349"/>
      <c r="K100" s="349"/>
      <c r="L100" s="349"/>
      <c r="M100" s="350"/>
      <c r="N100" s="350"/>
      <c r="O100" s="350"/>
      <c r="P100" s="351"/>
      <c r="Q100" s="351"/>
      <c r="R100" s="351"/>
      <c r="S100" s="12"/>
      <c r="T100" s="12"/>
      <c r="U100" s="514"/>
      <c r="V100" s="411"/>
      <c r="W100" s="411"/>
      <c r="X100" s="72"/>
      <c r="Y100" s="512"/>
      <c r="Z100" s="341"/>
      <c r="AA100" s="341"/>
      <c r="AB100" s="341"/>
      <c r="AC100" s="341"/>
      <c r="AD100" s="72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</row>
    <row r="101" spans="1:842" s="154" customFormat="1" x14ac:dyDescent="0.25">
      <c r="A101" s="156"/>
      <c r="B101" s="263"/>
      <c r="C101" s="158"/>
      <c r="D101" s="74"/>
      <c r="E101" s="74"/>
      <c r="F101" s="74"/>
      <c r="G101" s="74"/>
      <c r="H101" s="74"/>
      <c r="I101" s="74"/>
      <c r="J101" s="74"/>
      <c r="K101" s="74"/>
      <c r="L101" s="74"/>
      <c r="M101" s="528"/>
      <c r="N101" s="528"/>
      <c r="O101" s="528"/>
      <c r="P101" s="17"/>
      <c r="Q101" s="17"/>
      <c r="R101" s="17"/>
      <c r="S101" s="17"/>
      <c r="T101" s="159"/>
      <c r="U101" s="157"/>
      <c r="V101" s="157"/>
      <c r="W101" s="157"/>
      <c r="X101" s="182"/>
      <c r="Y101" s="166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</row>
    <row r="102" spans="1:842" customFormat="1" x14ac:dyDescent="0.25">
      <c r="B102" s="266"/>
      <c r="D102" s="74"/>
      <c r="E102" s="74"/>
      <c r="F102" s="74"/>
      <c r="G102" s="74"/>
      <c r="H102" s="74"/>
      <c r="I102" s="74"/>
      <c r="J102" s="74"/>
      <c r="K102" s="74"/>
      <c r="L102" s="74"/>
      <c r="M102" s="528"/>
      <c r="N102" s="528"/>
      <c r="O102" s="528"/>
      <c r="P102" s="17"/>
      <c r="Q102" s="17"/>
      <c r="R102" s="17"/>
      <c r="S102" s="17"/>
      <c r="T102" s="17"/>
      <c r="U102" s="17"/>
      <c r="V102" s="254"/>
      <c r="W102" s="254"/>
      <c r="X102" s="182"/>
      <c r="Y102" s="166"/>
      <c r="Z102" s="154"/>
      <c r="AA102" s="154"/>
      <c r="AB102" s="6"/>
      <c r="AC102" s="6"/>
    </row>
    <row r="103" spans="1:842" customFormat="1" x14ac:dyDescent="0.25">
      <c r="B103" s="266"/>
      <c r="D103" s="74"/>
      <c r="E103" s="74"/>
      <c r="F103" s="74"/>
      <c r="G103" s="74"/>
      <c r="H103" s="74"/>
      <c r="I103" s="74"/>
      <c r="J103" s="74"/>
      <c r="K103" s="74"/>
      <c r="L103" s="74"/>
      <c r="M103" s="528"/>
      <c r="N103" s="528"/>
      <c r="O103" s="528"/>
      <c r="P103" s="17"/>
      <c r="Q103" s="17"/>
      <c r="R103" s="17"/>
      <c r="S103" s="17"/>
      <c r="T103" s="17"/>
      <c r="U103" s="17"/>
      <c r="V103" s="254"/>
      <c r="W103" s="254"/>
      <c r="X103" s="182"/>
      <c r="Y103" s="166"/>
      <c r="Z103" s="154"/>
      <c r="AA103" s="154"/>
      <c r="AB103" s="6"/>
      <c r="AC103" s="6"/>
    </row>
    <row r="104" spans="1:842" customFormat="1" x14ac:dyDescent="0.25">
      <c r="B104" s="266"/>
      <c r="D104" s="74"/>
      <c r="E104" s="74"/>
      <c r="F104" s="74"/>
      <c r="G104" s="74"/>
      <c r="H104" s="74"/>
      <c r="I104" s="74"/>
      <c r="J104" s="74"/>
      <c r="K104" s="74"/>
      <c r="L104" s="74"/>
      <c r="M104" s="528"/>
      <c r="N104" s="528"/>
      <c r="O104" s="528"/>
      <c r="P104" s="17"/>
      <c r="Q104" s="17"/>
      <c r="R104" s="17"/>
      <c r="S104" s="17"/>
      <c r="T104" s="17"/>
      <c r="U104" s="17"/>
      <c r="V104" s="254"/>
      <c r="W104" s="254"/>
      <c r="X104" s="182"/>
      <c r="Y104" s="166"/>
      <c r="Z104" s="154"/>
      <c r="AA104" s="154"/>
      <c r="AB104" s="6"/>
      <c r="AC104" s="6"/>
    </row>
    <row r="105" spans="1:842" customFormat="1" x14ac:dyDescent="0.25">
      <c r="B105" s="266"/>
      <c r="D105" s="74"/>
      <c r="E105" s="74"/>
      <c r="F105" s="74"/>
      <c r="G105" s="74"/>
      <c r="H105" s="74"/>
      <c r="I105" s="74"/>
      <c r="J105" s="74"/>
      <c r="K105" s="74"/>
      <c r="L105" s="74"/>
      <c r="M105" s="528"/>
      <c r="N105" s="528"/>
      <c r="O105" s="528"/>
      <c r="P105" s="17"/>
      <c r="Q105" s="17"/>
      <c r="R105" s="17"/>
      <c r="S105" s="17"/>
      <c r="T105" s="17"/>
      <c r="U105" s="17"/>
      <c r="V105" s="254"/>
      <c r="W105" s="254"/>
      <c r="X105" s="182"/>
      <c r="Y105" s="166"/>
      <c r="Z105" s="154"/>
      <c r="AA105" s="154"/>
      <c r="AB105" s="6"/>
      <c r="AC105" s="6"/>
    </row>
    <row r="106" spans="1:842" customFormat="1" x14ac:dyDescent="0.25">
      <c r="B106" s="266"/>
      <c r="D106" s="74"/>
      <c r="E106" s="74"/>
      <c r="F106" s="74"/>
      <c r="G106" s="74"/>
      <c r="H106" s="74"/>
      <c r="I106" s="74"/>
      <c r="J106" s="74"/>
      <c r="K106" s="74"/>
      <c r="L106" s="74"/>
      <c r="M106" s="528"/>
      <c r="N106" s="528"/>
      <c r="O106" s="528"/>
      <c r="P106" s="17"/>
      <c r="Q106" s="17"/>
      <c r="R106" s="17"/>
      <c r="S106" s="17"/>
      <c r="T106" s="17"/>
      <c r="U106" s="17"/>
      <c r="V106" s="254"/>
      <c r="W106" s="254"/>
      <c r="X106" s="182"/>
      <c r="Y106" s="166"/>
      <c r="Z106" s="154"/>
      <c r="AA106" s="154"/>
      <c r="AB106" s="6"/>
      <c r="AC106" s="6"/>
    </row>
    <row r="107" spans="1:842" customFormat="1" x14ac:dyDescent="0.25">
      <c r="B107" s="266"/>
      <c r="D107" s="74"/>
      <c r="E107" s="74"/>
      <c r="F107" s="74"/>
      <c r="G107" s="74"/>
      <c r="H107" s="74"/>
      <c r="I107" s="74"/>
      <c r="J107" s="74"/>
      <c r="K107" s="74"/>
      <c r="L107" s="74"/>
      <c r="M107" s="528"/>
      <c r="N107" s="528"/>
      <c r="O107" s="528"/>
      <c r="P107" s="17"/>
      <c r="Q107" s="17"/>
      <c r="R107" s="17"/>
      <c r="S107" s="17"/>
      <c r="T107" s="17"/>
      <c r="U107" s="17"/>
      <c r="V107" s="254"/>
      <c r="W107" s="254"/>
      <c r="X107" s="182"/>
      <c r="Y107" s="166"/>
      <c r="Z107" s="154"/>
      <c r="AA107" s="154"/>
      <c r="AB107" s="6"/>
      <c r="AC107" s="6"/>
    </row>
    <row r="108" spans="1:842" customFormat="1" x14ac:dyDescent="0.25">
      <c r="B108" s="266"/>
      <c r="D108" s="74"/>
      <c r="E108" s="74"/>
      <c r="F108" s="74"/>
      <c r="G108" s="74"/>
      <c r="H108" s="74"/>
      <c r="I108" s="74"/>
      <c r="J108" s="74"/>
      <c r="K108" s="74"/>
      <c r="L108" s="74"/>
      <c r="M108" s="528"/>
      <c r="N108" s="528"/>
      <c r="O108" s="528"/>
      <c r="P108" s="17"/>
      <c r="Q108" s="17"/>
      <c r="R108" s="17"/>
      <c r="S108" s="17"/>
      <c r="T108" s="17"/>
      <c r="U108" s="17"/>
      <c r="V108" s="254"/>
      <c r="W108" s="254"/>
      <c r="X108" s="182"/>
      <c r="Y108" s="166"/>
      <c r="Z108" s="154"/>
      <c r="AA108" s="154"/>
      <c r="AB108" s="6"/>
      <c r="AC108" s="6"/>
    </row>
    <row r="109" spans="1:842" customFormat="1" x14ac:dyDescent="0.25">
      <c r="B109" s="266"/>
      <c r="D109" s="74"/>
      <c r="E109" s="74"/>
      <c r="F109" s="74"/>
      <c r="G109" s="74"/>
      <c r="H109" s="74"/>
      <c r="I109" s="74"/>
      <c r="J109" s="74"/>
      <c r="K109" s="74"/>
      <c r="L109" s="74"/>
      <c r="M109" s="528"/>
      <c r="N109" s="528"/>
      <c r="O109" s="528"/>
      <c r="P109" s="17"/>
      <c r="Q109" s="17"/>
      <c r="R109" s="17"/>
      <c r="S109" s="17"/>
      <c r="T109" s="17"/>
      <c r="U109" s="17"/>
      <c r="V109" s="254"/>
      <c r="W109" s="254"/>
      <c r="X109" s="182"/>
      <c r="Y109" s="166"/>
      <c r="Z109" s="154"/>
      <c r="AA109" s="154"/>
      <c r="AB109" s="6"/>
      <c r="AC109" s="6"/>
    </row>
    <row r="110" spans="1:842" customFormat="1" x14ac:dyDescent="0.25">
      <c r="B110" s="266"/>
      <c r="D110" s="74"/>
      <c r="E110" s="74"/>
      <c r="F110" s="74"/>
      <c r="G110" s="74"/>
      <c r="H110" s="74"/>
      <c r="I110" s="74"/>
      <c r="J110" s="74"/>
      <c r="K110" s="74"/>
      <c r="L110" s="74"/>
      <c r="M110" s="528"/>
      <c r="N110" s="528"/>
      <c r="O110" s="528"/>
      <c r="P110" s="17"/>
      <c r="Q110" s="17"/>
      <c r="R110" s="17"/>
      <c r="S110" s="17"/>
      <c r="T110" s="17"/>
      <c r="U110" s="17"/>
      <c r="V110" s="254"/>
      <c r="W110" s="254"/>
      <c r="X110" s="182"/>
      <c r="Y110" s="166"/>
      <c r="Z110" s="154"/>
      <c r="AA110" s="154"/>
      <c r="AB110" s="6"/>
      <c r="AC110" s="6"/>
    </row>
    <row r="111" spans="1:842" customFormat="1" x14ac:dyDescent="0.25">
      <c r="B111" s="266"/>
      <c r="D111" s="74"/>
      <c r="E111" s="74"/>
      <c r="F111" s="74"/>
      <c r="G111" s="74"/>
      <c r="H111" s="74"/>
      <c r="I111" s="74"/>
      <c r="J111" s="74"/>
      <c r="K111" s="74"/>
      <c r="L111" s="74"/>
      <c r="M111" s="528"/>
      <c r="N111" s="528"/>
      <c r="O111" s="528"/>
      <c r="P111" s="17"/>
      <c r="Q111" s="17"/>
      <c r="R111" s="17"/>
      <c r="S111" s="17"/>
      <c r="T111" s="17"/>
      <c r="U111" s="17"/>
      <c r="V111" s="254"/>
      <c r="W111" s="254"/>
      <c r="X111" s="182"/>
      <c r="Y111" s="166"/>
      <c r="Z111" s="154"/>
      <c r="AA111" s="154"/>
      <c r="AB111" s="6"/>
      <c r="AC111" s="6"/>
    </row>
    <row r="112" spans="1:842" customFormat="1" x14ac:dyDescent="0.25">
      <c r="B112" s="266"/>
      <c r="D112" s="74"/>
      <c r="E112" s="74"/>
      <c r="F112" s="74"/>
      <c r="G112" s="74"/>
      <c r="H112" s="74"/>
      <c r="I112" s="74"/>
      <c r="J112" s="74"/>
      <c r="K112" s="74"/>
      <c r="L112" s="74"/>
      <c r="M112" s="528"/>
      <c r="N112" s="528"/>
      <c r="O112" s="528"/>
      <c r="P112" s="17"/>
      <c r="Q112" s="17"/>
      <c r="R112" s="17"/>
      <c r="S112" s="17"/>
      <c r="T112" s="17"/>
      <c r="U112" s="17"/>
      <c r="V112" s="254"/>
      <c r="W112" s="254"/>
      <c r="X112" s="182"/>
      <c r="Y112" s="166"/>
      <c r="Z112" s="154"/>
      <c r="AA112" s="154"/>
      <c r="AB112" s="6"/>
      <c r="AC112" s="6"/>
    </row>
    <row r="113" spans="2:29" customFormat="1" x14ac:dyDescent="0.25">
      <c r="B113" s="266"/>
      <c r="D113" s="74"/>
      <c r="E113" s="74"/>
      <c r="F113" s="74"/>
      <c r="G113" s="74"/>
      <c r="H113" s="74"/>
      <c r="I113" s="74"/>
      <c r="J113" s="74"/>
      <c r="K113" s="74"/>
      <c r="L113" s="74"/>
      <c r="M113" s="528"/>
      <c r="N113" s="528"/>
      <c r="O113" s="528"/>
      <c r="P113" s="17"/>
      <c r="Q113" s="17"/>
      <c r="R113" s="17"/>
      <c r="S113" s="17"/>
      <c r="T113" s="17"/>
      <c r="U113" s="17"/>
      <c r="V113" s="254"/>
      <c r="W113" s="254"/>
      <c r="X113" s="182"/>
      <c r="Y113" s="166"/>
      <c r="Z113" s="154"/>
      <c r="AA113" s="154"/>
      <c r="AB113" s="6"/>
      <c r="AC113" s="6"/>
    </row>
    <row r="114" spans="2:29" customFormat="1" x14ac:dyDescent="0.25">
      <c r="B114" s="266"/>
      <c r="D114" s="74"/>
      <c r="E114" s="74"/>
      <c r="F114" s="74"/>
      <c r="G114" s="74"/>
      <c r="H114" s="74"/>
      <c r="I114" s="74"/>
      <c r="J114" s="74"/>
      <c r="K114" s="74"/>
      <c r="L114" s="74"/>
      <c r="M114" s="528"/>
      <c r="N114" s="528"/>
      <c r="O114" s="528"/>
      <c r="P114" s="17"/>
      <c r="Q114" s="17"/>
      <c r="R114" s="17"/>
      <c r="S114" s="17"/>
      <c r="T114" s="17"/>
      <c r="U114" s="17"/>
      <c r="V114" s="254"/>
      <c r="W114" s="254"/>
      <c r="X114" s="182"/>
      <c r="Y114" s="166"/>
      <c r="Z114" s="154"/>
      <c r="AA114" s="154"/>
      <c r="AB114" s="6"/>
      <c r="AC114" s="6"/>
    </row>
    <row r="115" spans="2:29" customFormat="1" x14ac:dyDescent="0.25">
      <c r="B115" s="266"/>
      <c r="D115" s="74"/>
      <c r="E115" s="74"/>
      <c r="F115" s="74"/>
      <c r="G115" s="74"/>
      <c r="H115" s="74"/>
      <c r="I115" s="74"/>
      <c r="J115" s="74"/>
      <c r="K115" s="74"/>
      <c r="L115" s="74"/>
      <c r="M115" s="528"/>
      <c r="N115" s="528"/>
      <c r="O115" s="528"/>
      <c r="P115" s="17"/>
      <c r="Q115" s="17"/>
      <c r="R115" s="17"/>
      <c r="S115" s="17"/>
      <c r="T115" s="17"/>
      <c r="U115" s="17"/>
      <c r="V115" s="254"/>
      <c r="W115" s="254"/>
      <c r="X115" s="182"/>
      <c r="Y115" s="166"/>
      <c r="Z115" s="154"/>
      <c r="AA115" s="154"/>
      <c r="AB115" s="6"/>
      <c r="AC115" s="6"/>
    </row>
    <row r="116" spans="2:29" customFormat="1" x14ac:dyDescent="0.25">
      <c r="B116" s="266"/>
      <c r="D116" s="74"/>
      <c r="E116" s="74"/>
      <c r="F116" s="74"/>
      <c r="G116" s="74"/>
      <c r="H116" s="74"/>
      <c r="I116" s="74"/>
      <c r="J116" s="74"/>
      <c r="K116" s="74"/>
      <c r="L116" s="74"/>
      <c r="M116" s="528"/>
      <c r="N116" s="528"/>
      <c r="O116" s="528"/>
      <c r="P116" s="17"/>
      <c r="Q116" s="17"/>
      <c r="R116" s="17"/>
      <c r="S116" s="17"/>
      <c r="T116" s="17"/>
      <c r="U116" s="17"/>
      <c r="V116" s="254"/>
      <c r="W116" s="254"/>
      <c r="X116" s="182"/>
      <c r="Y116" s="166"/>
      <c r="Z116" s="154"/>
      <c r="AA116" s="154"/>
      <c r="AB116" s="6"/>
      <c r="AC116" s="6"/>
    </row>
    <row r="117" spans="2:29" customFormat="1" x14ac:dyDescent="0.25">
      <c r="B117" s="266"/>
      <c r="D117" s="74"/>
      <c r="E117" s="74"/>
      <c r="F117" s="74"/>
      <c r="G117" s="74"/>
      <c r="H117" s="74"/>
      <c r="I117" s="74"/>
      <c r="J117" s="74"/>
      <c r="K117" s="74"/>
      <c r="L117" s="74"/>
      <c r="M117" s="528"/>
      <c r="N117" s="528"/>
      <c r="O117" s="528"/>
      <c r="P117" s="17"/>
      <c r="Q117" s="17"/>
      <c r="R117" s="17"/>
      <c r="S117" s="17"/>
      <c r="T117" s="17"/>
      <c r="U117" s="17"/>
      <c r="V117" s="254"/>
      <c r="W117" s="254"/>
      <c r="X117" s="182"/>
      <c r="Y117" s="166"/>
      <c r="Z117" s="154"/>
      <c r="AA117" s="154"/>
      <c r="AB117" s="6"/>
      <c r="AC117" s="6"/>
    </row>
    <row r="118" spans="2:29" customFormat="1" x14ac:dyDescent="0.25">
      <c r="B118" s="266"/>
      <c r="D118" s="74"/>
      <c r="E118" s="74"/>
      <c r="F118" s="74"/>
      <c r="G118" s="74"/>
      <c r="H118" s="74"/>
      <c r="I118" s="74"/>
      <c r="J118" s="74"/>
      <c r="K118" s="74"/>
      <c r="L118" s="74"/>
      <c r="M118" s="528"/>
      <c r="N118" s="528"/>
      <c r="O118" s="528"/>
      <c r="P118" s="17"/>
      <c r="Q118" s="17"/>
      <c r="R118" s="17"/>
      <c r="S118" s="17"/>
      <c r="T118" s="17"/>
      <c r="U118" s="17"/>
      <c r="V118" s="254"/>
      <c r="W118" s="254"/>
      <c r="X118" s="182"/>
      <c r="Y118" s="166"/>
      <c r="Z118" s="154"/>
      <c r="AA118" s="154"/>
      <c r="AB118" s="6"/>
      <c r="AC118" s="6"/>
    </row>
    <row r="119" spans="2:29" customFormat="1" x14ac:dyDescent="0.25">
      <c r="B119" s="266"/>
      <c r="D119" s="74"/>
      <c r="E119" s="74"/>
      <c r="F119" s="74"/>
      <c r="G119" s="74"/>
      <c r="H119" s="74"/>
      <c r="I119" s="74"/>
      <c r="J119" s="74"/>
      <c r="K119" s="74"/>
      <c r="L119" s="74"/>
      <c r="M119" s="528"/>
      <c r="N119" s="528"/>
      <c r="O119" s="528"/>
      <c r="P119" s="17"/>
      <c r="Q119" s="17"/>
      <c r="R119" s="17"/>
      <c r="S119" s="17"/>
      <c r="T119" s="17"/>
      <c r="U119" s="17"/>
      <c r="V119" s="254"/>
      <c r="W119" s="254"/>
      <c r="X119" s="182"/>
      <c r="Y119" s="166"/>
      <c r="Z119" s="154"/>
      <c r="AA119" s="154"/>
      <c r="AB119" s="6"/>
      <c r="AC119" s="6"/>
    </row>
    <row r="120" spans="2:29" customFormat="1" x14ac:dyDescent="0.25">
      <c r="B120" s="266"/>
      <c r="D120" s="74"/>
      <c r="E120" s="74"/>
      <c r="F120" s="74"/>
      <c r="G120" s="74"/>
      <c r="H120" s="74"/>
      <c r="I120" s="74"/>
      <c r="J120" s="74"/>
      <c r="K120" s="74"/>
      <c r="L120" s="74"/>
      <c r="M120" s="528"/>
      <c r="N120" s="528"/>
      <c r="O120" s="528"/>
      <c r="P120" s="17"/>
      <c r="Q120" s="17"/>
      <c r="R120" s="17"/>
      <c r="S120" s="17"/>
      <c r="T120" s="17"/>
      <c r="U120" s="17"/>
      <c r="V120" s="254"/>
      <c r="W120" s="254"/>
      <c r="X120" s="182"/>
      <c r="Y120" s="166"/>
      <c r="Z120" s="154"/>
      <c r="AA120" s="154"/>
      <c r="AB120" s="6"/>
      <c r="AC120" s="6"/>
    </row>
    <row r="121" spans="2:29" customFormat="1" x14ac:dyDescent="0.25">
      <c r="B121" s="266"/>
      <c r="D121" s="74"/>
      <c r="E121" s="74"/>
      <c r="F121" s="74"/>
      <c r="G121" s="74"/>
      <c r="H121" s="74"/>
      <c r="I121" s="74"/>
      <c r="J121" s="74"/>
      <c r="K121" s="74"/>
      <c r="L121" s="74"/>
      <c r="M121" s="528"/>
      <c r="N121" s="528"/>
      <c r="O121" s="528"/>
      <c r="P121" s="17"/>
      <c r="Q121" s="17"/>
      <c r="R121" s="17"/>
      <c r="S121" s="17"/>
      <c r="T121" s="17"/>
      <c r="U121" s="17"/>
      <c r="V121" s="254"/>
      <c r="W121" s="254"/>
      <c r="X121" s="182"/>
      <c r="Y121" s="166"/>
      <c r="Z121" s="154"/>
      <c r="AA121" s="154"/>
      <c r="AB121" s="6"/>
      <c r="AC121" s="6"/>
    </row>
    <row r="122" spans="2:29" customFormat="1" x14ac:dyDescent="0.25">
      <c r="B122" s="266"/>
      <c r="D122" s="74"/>
      <c r="E122" s="74"/>
      <c r="F122" s="74"/>
      <c r="G122" s="74"/>
      <c r="H122" s="74"/>
      <c r="I122" s="74"/>
      <c r="J122" s="74"/>
      <c r="K122" s="74"/>
      <c r="L122" s="74"/>
      <c r="M122" s="528"/>
      <c r="N122" s="528"/>
      <c r="O122" s="528"/>
      <c r="P122" s="17"/>
      <c r="Q122" s="17"/>
      <c r="R122" s="17"/>
      <c r="S122" s="17"/>
      <c r="T122" s="17"/>
      <c r="U122" s="17"/>
      <c r="V122" s="254"/>
      <c r="W122" s="254"/>
      <c r="X122" s="182"/>
      <c r="Y122" s="166"/>
      <c r="Z122" s="154"/>
      <c r="AA122" s="154"/>
      <c r="AB122" s="6"/>
      <c r="AC122" s="6"/>
    </row>
    <row r="123" spans="2:29" customFormat="1" x14ac:dyDescent="0.25">
      <c r="B123" s="266"/>
      <c r="D123" s="74"/>
      <c r="E123" s="74"/>
      <c r="F123" s="74"/>
      <c r="G123" s="74"/>
      <c r="H123" s="74"/>
      <c r="I123" s="74"/>
      <c r="J123" s="74"/>
      <c r="K123" s="74"/>
      <c r="L123" s="74"/>
      <c r="M123" s="528"/>
      <c r="N123" s="528"/>
      <c r="O123" s="528"/>
      <c r="P123" s="17"/>
      <c r="Q123" s="17"/>
      <c r="R123" s="17"/>
      <c r="S123" s="17"/>
      <c r="T123" s="17"/>
      <c r="U123" s="17"/>
      <c r="V123" s="254"/>
      <c r="W123" s="254"/>
      <c r="X123" s="182"/>
      <c r="Y123" s="166"/>
      <c r="Z123" s="154"/>
      <c r="AA123" s="154"/>
      <c r="AB123" s="6"/>
      <c r="AC123" s="6"/>
    </row>
    <row r="124" spans="2:29" customFormat="1" x14ac:dyDescent="0.25">
      <c r="B124" s="266"/>
      <c r="D124" s="74"/>
      <c r="E124" s="74"/>
      <c r="F124" s="74"/>
      <c r="G124" s="74"/>
      <c r="H124" s="74"/>
      <c r="I124" s="74"/>
      <c r="J124" s="74"/>
      <c r="K124" s="74"/>
      <c r="L124" s="74"/>
      <c r="M124" s="528"/>
      <c r="N124" s="528"/>
      <c r="O124" s="528"/>
      <c r="P124" s="17"/>
      <c r="Q124" s="17"/>
      <c r="R124" s="17"/>
      <c r="S124" s="17"/>
      <c r="T124" s="17"/>
      <c r="U124" s="17"/>
      <c r="V124" s="254"/>
      <c r="W124" s="254"/>
      <c r="X124" s="182"/>
      <c r="Y124" s="166"/>
      <c r="Z124" s="154"/>
      <c r="AA124" s="154"/>
      <c r="AB124" s="6"/>
      <c r="AC124" s="6"/>
    </row>
    <row r="125" spans="2:29" customFormat="1" x14ac:dyDescent="0.25">
      <c r="B125" s="266"/>
      <c r="D125" s="74"/>
      <c r="E125" s="74"/>
      <c r="F125" s="74"/>
      <c r="G125" s="74"/>
      <c r="H125" s="74"/>
      <c r="I125" s="74"/>
      <c r="J125" s="74"/>
      <c r="K125" s="74"/>
      <c r="L125" s="74"/>
      <c r="M125" s="528"/>
      <c r="N125" s="528"/>
      <c r="O125" s="528"/>
      <c r="P125" s="17"/>
      <c r="Q125" s="17"/>
      <c r="R125" s="17"/>
      <c r="S125" s="17"/>
      <c r="T125" s="17"/>
      <c r="U125" s="17"/>
      <c r="V125" s="254"/>
      <c r="W125" s="254"/>
      <c r="X125" s="182"/>
      <c r="Y125" s="166"/>
      <c r="Z125" s="154"/>
      <c r="AA125" s="154"/>
      <c r="AB125" s="6"/>
      <c r="AC125" s="6"/>
    </row>
    <row r="126" spans="2:29" customFormat="1" x14ac:dyDescent="0.25">
      <c r="B126" s="266"/>
      <c r="D126" s="74"/>
      <c r="E126" s="74"/>
      <c r="F126" s="74"/>
      <c r="G126" s="74"/>
      <c r="H126" s="74"/>
      <c r="I126" s="74"/>
      <c r="J126" s="74"/>
      <c r="K126" s="74"/>
      <c r="L126" s="74"/>
      <c r="M126" s="528"/>
      <c r="N126" s="528"/>
      <c r="O126" s="528"/>
      <c r="P126" s="17"/>
      <c r="Q126" s="17"/>
      <c r="R126" s="17"/>
      <c r="S126" s="17"/>
      <c r="T126" s="17"/>
      <c r="U126" s="17"/>
      <c r="V126" s="254"/>
      <c r="W126" s="254"/>
      <c r="X126" s="182"/>
      <c r="Y126" s="166"/>
      <c r="Z126" s="154"/>
      <c r="AA126" s="154"/>
      <c r="AB126" s="6"/>
      <c r="AC126" s="6"/>
    </row>
    <row r="127" spans="2:29" customFormat="1" x14ac:dyDescent="0.25">
      <c r="B127" s="266"/>
      <c r="D127" s="74"/>
      <c r="E127" s="74"/>
      <c r="F127" s="74"/>
      <c r="G127" s="74"/>
      <c r="H127" s="74"/>
      <c r="I127" s="74"/>
      <c r="J127" s="74"/>
      <c r="K127" s="74"/>
      <c r="L127" s="74"/>
      <c r="M127" s="528"/>
      <c r="N127" s="528"/>
      <c r="O127" s="528"/>
      <c r="P127" s="17"/>
      <c r="Q127" s="17"/>
      <c r="R127" s="17"/>
      <c r="S127" s="17"/>
      <c r="T127" s="17"/>
      <c r="U127" s="17"/>
      <c r="V127" s="254"/>
      <c r="W127" s="254"/>
      <c r="X127" s="182"/>
      <c r="Y127" s="166"/>
      <c r="Z127" s="154"/>
      <c r="AA127" s="154"/>
      <c r="AB127" s="6"/>
      <c r="AC127" s="6"/>
    </row>
    <row r="128" spans="2:29" customFormat="1" x14ac:dyDescent="0.25">
      <c r="B128" s="266"/>
      <c r="D128" s="74"/>
      <c r="E128" s="74"/>
      <c r="F128" s="74"/>
      <c r="G128" s="74"/>
      <c r="H128" s="74"/>
      <c r="I128" s="74"/>
      <c r="J128" s="74"/>
      <c r="K128" s="74"/>
      <c r="L128" s="74"/>
      <c r="M128" s="528"/>
      <c r="N128" s="528"/>
      <c r="O128" s="528"/>
      <c r="P128" s="17"/>
      <c r="Q128" s="17"/>
      <c r="R128" s="17"/>
      <c r="S128" s="17"/>
      <c r="T128" s="17"/>
      <c r="U128" s="17"/>
      <c r="V128" s="254"/>
      <c r="W128" s="254"/>
      <c r="X128" s="182"/>
      <c r="Y128" s="166"/>
      <c r="Z128" s="154"/>
      <c r="AA128" s="154"/>
      <c r="AB128" s="6"/>
      <c r="AC128" s="6"/>
    </row>
    <row r="129" spans="2:29" customFormat="1" x14ac:dyDescent="0.25">
      <c r="B129" s="266"/>
      <c r="D129" s="74"/>
      <c r="E129" s="74"/>
      <c r="F129" s="74"/>
      <c r="G129" s="74"/>
      <c r="H129" s="74"/>
      <c r="I129" s="74"/>
      <c r="J129" s="74"/>
      <c r="K129" s="74"/>
      <c r="L129" s="74"/>
      <c r="M129" s="528"/>
      <c r="N129" s="528"/>
      <c r="O129" s="528"/>
      <c r="P129" s="17"/>
      <c r="Q129" s="17"/>
      <c r="R129" s="17"/>
      <c r="S129" s="17"/>
      <c r="T129" s="17"/>
      <c r="U129" s="17"/>
      <c r="V129" s="254"/>
      <c r="W129" s="254"/>
      <c r="X129" s="182"/>
      <c r="Y129" s="166"/>
      <c r="Z129" s="154"/>
      <c r="AA129" s="154"/>
      <c r="AB129" s="6"/>
      <c r="AC129" s="6"/>
    </row>
    <row r="130" spans="2:29" customFormat="1" x14ac:dyDescent="0.25">
      <c r="B130" s="266"/>
      <c r="D130" s="74"/>
      <c r="E130" s="74"/>
      <c r="F130" s="74"/>
      <c r="G130" s="74"/>
      <c r="H130" s="74"/>
      <c r="I130" s="74"/>
      <c r="J130" s="74"/>
      <c r="K130" s="74"/>
      <c r="L130" s="74"/>
      <c r="M130" s="528"/>
      <c r="N130" s="528"/>
      <c r="O130" s="528"/>
      <c r="P130" s="17"/>
      <c r="Q130" s="17"/>
      <c r="R130" s="17"/>
      <c r="S130" s="17"/>
      <c r="T130" s="17"/>
      <c r="U130" s="17"/>
      <c r="V130" s="254"/>
      <c r="W130" s="254"/>
      <c r="X130" s="182"/>
      <c r="Y130" s="166"/>
      <c r="Z130" s="154"/>
      <c r="AA130" s="154"/>
      <c r="AB130" s="6"/>
      <c r="AC130" s="6"/>
    </row>
    <row r="131" spans="2:29" customFormat="1" x14ac:dyDescent="0.25">
      <c r="B131" s="266"/>
      <c r="D131" s="74"/>
      <c r="E131" s="74"/>
      <c r="F131" s="74"/>
      <c r="G131" s="74"/>
      <c r="H131" s="74"/>
      <c r="I131" s="74"/>
      <c r="J131" s="74"/>
      <c r="K131" s="74"/>
      <c r="L131" s="74"/>
      <c r="M131" s="528"/>
      <c r="N131" s="528"/>
      <c r="O131" s="528"/>
      <c r="P131" s="17"/>
      <c r="Q131" s="17"/>
      <c r="R131" s="17"/>
      <c r="S131" s="17"/>
      <c r="T131" s="17"/>
      <c r="U131" s="17"/>
      <c r="V131" s="254"/>
      <c r="W131" s="254"/>
      <c r="X131" s="182"/>
      <c r="Y131" s="166"/>
      <c r="Z131" s="154"/>
      <c r="AA131" s="154"/>
      <c r="AB131" s="6"/>
      <c r="AC131" s="6"/>
    </row>
    <row r="132" spans="2:29" customFormat="1" x14ac:dyDescent="0.25">
      <c r="B132" s="266"/>
      <c r="D132" s="74"/>
      <c r="E132" s="74"/>
      <c r="F132" s="74"/>
      <c r="G132" s="74"/>
      <c r="H132" s="74"/>
      <c r="I132" s="74"/>
      <c r="J132" s="74"/>
      <c r="K132" s="74"/>
      <c r="L132" s="74"/>
      <c r="M132" s="528"/>
      <c r="N132" s="528"/>
      <c r="O132" s="528"/>
      <c r="P132" s="17"/>
      <c r="Q132" s="17"/>
      <c r="R132" s="17"/>
      <c r="S132" s="17"/>
      <c r="T132" s="17"/>
      <c r="U132" s="17"/>
      <c r="V132" s="254"/>
      <c r="W132" s="254"/>
      <c r="X132" s="182"/>
      <c r="Y132" s="166"/>
      <c r="Z132" s="154"/>
      <c r="AA132" s="154"/>
      <c r="AB132" s="6"/>
      <c r="AC132" s="6"/>
    </row>
    <row r="133" spans="2:29" customFormat="1" x14ac:dyDescent="0.25">
      <c r="B133" s="266"/>
      <c r="D133" s="74"/>
      <c r="E133" s="74"/>
      <c r="F133" s="74"/>
      <c r="G133" s="74"/>
      <c r="H133" s="74"/>
      <c r="I133" s="74"/>
      <c r="J133" s="74"/>
      <c r="K133" s="74"/>
      <c r="L133" s="74"/>
      <c r="M133" s="528"/>
      <c r="N133" s="528"/>
      <c r="O133" s="528"/>
      <c r="P133" s="17"/>
      <c r="Q133" s="17"/>
      <c r="R133" s="17"/>
      <c r="S133" s="17"/>
      <c r="T133" s="17"/>
      <c r="U133" s="17"/>
      <c r="V133" s="254"/>
      <c r="W133" s="254"/>
      <c r="X133" s="182"/>
      <c r="Y133" s="166"/>
      <c r="Z133" s="154"/>
      <c r="AA133" s="154"/>
      <c r="AB133" s="6"/>
      <c r="AC133" s="6"/>
    </row>
    <row r="134" spans="2:29" customFormat="1" x14ac:dyDescent="0.25">
      <c r="B134" s="266"/>
      <c r="D134" s="74"/>
      <c r="E134" s="74"/>
      <c r="F134" s="74"/>
      <c r="G134" s="74"/>
      <c r="H134" s="74"/>
      <c r="I134" s="74"/>
      <c r="J134" s="74"/>
      <c r="K134" s="74"/>
      <c r="L134" s="74"/>
      <c r="M134" s="528"/>
      <c r="N134" s="528"/>
      <c r="O134" s="528"/>
      <c r="P134" s="17"/>
      <c r="Q134" s="17"/>
      <c r="R134" s="17"/>
      <c r="S134" s="17"/>
      <c r="T134" s="17"/>
      <c r="U134" s="17"/>
      <c r="V134" s="254"/>
      <c r="W134" s="254"/>
      <c r="X134" s="182"/>
      <c r="Y134" s="166"/>
      <c r="Z134" s="154"/>
      <c r="AA134" s="154"/>
      <c r="AB134" s="6"/>
      <c r="AC134" s="6"/>
    </row>
    <row r="135" spans="2:29" customFormat="1" x14ac:dyDescent="0.25">
      <c r="B135" s="266"/>
      <c r="D135" s="74"/>
      <c r="E135" s="74"/>
      <c r="F135" s="74"/>
      <c r="G135" s="74"/>
      <c r="H135" s="74"/>
      <c r="I135" s="74"/>
      <c r="J135" s="74"/>
      <c r="K135" s="74"/>
      <c r="L135" s="74"/>
      <c r="M135" s="528"/>
      <c r="N135" s="528"/>
      <c r="O135" s="528"/>
      <c r="P135" s="17"/>
      <c r="Q135" s="17"/>
      <c r="R135" s="17"/>
      <c r="S135" s="17"/>
      <c r="T135" s="17"/>
      <c r="U135" s="17"/>
      <c r="V135" s="254"/>
      <c r="W135" s="254"/>
      <c r="X135" s="182"/>
      <c r="Y135" s="166"/>
      <c r="Z135" s="154"/>
      <c r="AA135" s="154"/>
      <c r="AB135" s="6"/>
      <c r="AC135" s="6"/>
    </row>
    <row r="136" spans="2:29" customFormat="1" x14ac:dyDescent="0.25">
      <c r="B136" s="266"/>
      <c r="D136" s="74"/>
      <c r="E136" s="74"/>
      <c r="F136" s="74"/>
      <c r="G136" s="74"/>
      <c r="H136" s="74"/>
      <c r="I136" s="74"/>
      <c r="J136" s="74"/>
      <c r="K136" s="74"/>
      <c r="L136" s="74"/>
      <c r="M136" s="528"/>
      <c r="N136" s="528"/>
      <c r="O136" s="528"/>
      <c r="P136" s="17"/>
      <c r="Q136" s="17"/>
      <c r="R136" s="17"/>
      <c r="S136" s="17"/>
      <c r="T136" s="17"/>
      <c r="U136" s="17"/>
      <c r="V136" s="254"/>
      <c r="W136" s="254"/>
      <c r="X136" s="182"/>
      <c r="Y136" s="166"/>
      <c r="Z136" s="154"/>
      <c r="AA136" s="154"/>
      <c r="AB136" s="6"/>
      <c r="AC136" s="6"/>
    </row>
    <row r="137" spans="2:29" customFormat="1" x14ac:dyDescent="0.25">
      <c r="B137" s="266"/>
      <c r="D137" s="74"/>
      <c r="E137" s="74"/>
      <c r="F137" s="74"/>
      <c r="G137" s="74"/>
      <c r="H137" s="74"/>
      <c r="I137" s="74"/>
      <c r="J137" s="74"/>
      <c r="K137" s="74"/>
      <c r="L137" s="74"/>
      <c r="M137" s="528"/>
      <c r="N137" s="528"/>
      <c r="O137" s="528"/>
      <c r="P137" s="17"/>
      <c r="Q137" s="17"/>
      <c r="R137" s="17"/>
      <c r="S137" s="17"/>
      <c r="T137" s="17"/>
      <c r="U137" s="17"/>
      <c r="V137" s="254"/>
      <c r="W137" s="254"/>
      <c r="X137" s="182"/>
      <c r="Y137" s="166"/>
      <c r="Z137" s="154"/>
      <c r="AA137" s="154"/>
      <c r="AB137" s="6"/>
      <c r="AC137" s="6"/>
    </row>
    <row r="138" spans="2:29" customFormat="1" x14ac:dyDescent="0.25">
      <c r="B138" s="266"/>
      <c r="D138" s="74"/>
      <c r="E138" s="74"/>
      <c r="F138" s="74"/>
      <c r="G138" s="74"/>
      <c r="H138" s="74"/>
      <c r="I138" s="74"/>
      <c r="J138" s="74"/>
      <c r="K138" s="74"/>
      <c r="L138" s="74"/>
      <c r="M138" s="528"/>
      <c r="N138" s="528"/>
      <c r="O138" s="528"/>
      <c r="P138" s="17"/>
      <c r="Q138" s="17"/>
      <c r="R138" s="17"/>
      <c r="S138" s="17"/>
      <c r="T138" s="17"/>
      <c r="U138" s="17"/>
      <c r="V138" s="254"/>
      <c r="W138" s="254"/>
      <c r="X138" s="182"/>
      <c r="Y138" s="166"/>
      <c r="Z138" s="154"/>
      <c r="AA138" s="154"/>
      <c r="AB138" s="6"/>
      <c r="AC138" s="6"/>
    </row>
    <row r="139" spans="2:29" customFormat="1" x14ac:dyDescent="0.25">
      <c r="B139" s="266"/>
      <c r="D139" s="74"/>
      <c r="E139" s="74"/>
      <c r="F139" s="74"/>
      <c r="G139" s="74"/>
      <c r="H139" s="74"/>
      <c r="I139" s="74"/>
      <c r="J139" s="74"/>
      <c r="K139" s="74"/>
      <c r="L139" s="74"/>
      <c r="M139" s="528"/>
      <c r="N139" s="528"/>
      <c r="O139" s="528"/>
      <c r="P139" s="17"/>
      <c r="Q139" s="17"/>
      <c r="R139" s="17"/>
      <c r="S139" s="17"/>
      <c r="T139" s="17"/>
      <c r="U139" s="17"/>
      <c r="V139" s="254"/>
      <c r="W139" s="254"/>
      <c r="X139" s="182"/>
      <c r="Y139" s="166"/>
      <c r="Z139" s="154"/>
      <c r="AA139" s="154"/>
      <c r="AB139" s="6"/>
      <c r="AC139" s="6"/>
    </row>
    <row r="140" spans="2:29" customFormat="1" x14ac:dyDescent="0.25">
      <c r="B140" s="266"/>
      <c r="D140" s="74"/>
      <c r="E140" s="74"/>
      <c r="F140" s="74"/>
      <c r="G140" s="74"/>
      <c r="H140" s="74"/>
      <c r="I140" s="74"/>
      <c r="J140" s="74"/>
      <c r="K140" s="74"/>
      <c r="L140" s="74"/>
      <c r="M140" s="528"/>
      <c r="N140" s="528"/>
      <c r="O140" s="528"/>
      <c r="P140" s="17"/>
      <c r="Q140" s="17"/>
      <c r="R140" s="17"/>
      <c r="S140" s="17"/>
      <c r="T140" s="17"/>
      <c r="U140" s="17"/>
      <c r="V140" s="254"/>
      <c r="W140" s="254"/>
      <c r="X140" s="182"/>
      <c r="Y140" s="166"/>
      <c r="Z140" s="154"/>
      <c r="AA140" s="154"/>
      <c r="AB140" s="6"/>
      <c r="AC140" s="6"/>
    </row>
    <row r="141" spans="2:29" customFormat="1" x14ac:dyDescent="0.25">
      <c r="B141" s="266"/>
      <c r="D141" s="74"/>
      <c r="E141" s="74"/>
      <c r="F141" s="74"/>
      <c r="G141" s="74"/>
      <c r="H141" s="74"/>
      <c r="I141" s="74"/>
      <c r="J141" s="74"/>
      <c r="K141" s="74"/>
      <c r="L141" s="74"/>
      <c r="M141" s="528"/>
      <c r="N141" s="528"/>
      <c r="O141" s="528"/>
      <c r="P141" s="17"/>
      <c r="Q141" s="17"/>
      <c r="R141" s="17"/>
      <c r="S141" s="17"/>
      <c r="T141" s="17"/>
      <c r="U141" s="17"/>
      <c r="V141" s="254"/>
      <c r="W141" s="254"/>
      <c r="X141" s="182"/>
      <c r="Y141" s="166"/>
      <c r="Z141" s="154"/>
      <c r="AA141" s="154"/>
      <c r="AB141" s="6"/>
      <c r="AC141" s="6"/>
    </row>
    <row r="142" spans="2:29" customFormat="1" x14ac:dyDescent="0.25">
      <c r="B142" s="266"/>
      <c r="D142" s="74"/>
      <c r="E142" s="74"/>
      <c r="F142" s="74"/>
      <c r="G142" s="74"/>
      <c r="H142" s="74"/>
      <c r="I142" s="74"/>
      <c r="J142" s="74"/>
      <c r="K142" s="74"/>
      <c r="L142" s="74"/>
      <c r="M142" s="528"/>
      <c r="N142" s="528"/>
      <c r="O142" s="528"/>
      <c r="P142" s="17"/>
      <c r="Q142" s="17"/>
      <c r="R142" s="17"/>
      <c r="S142" s="17"/>
      <c r="T142" s="17"/>
      <c r="U142" s="17"/>
      <c r="V142" s="254"/>
      <c r="W142" s="254"/>
      <c r="X142" s="182"/>
      <c r="Y142" s="166"/>
      <c r="Z142" s="154"/>
      <c r="AA142" s="154"/>
      <c r="AB142" s="6"/>
      <c r="AC142" s="6"/>
    </row>
    <row r="143" spans="2:29" customFormat="1" x14ac:dyDescent="0.25">
      <c r="B143" s="266"/>
      <c r="D143" s="74"/>
      <c r="E143" s="74"/>
      <c r="F143" s="74"/>
      <c r="G143" s="74"/>
      <c r="H143" s="74"/>
      <c r="I143" s="74"/>
      <c r="J143" s="74"/>
      <c r="K143" s="74"/>
      <c r="L143" s="74"/>
      <c r="M143" s="528"/>
      <c r="N143" s="528"/>
      <c r="O143" s="528"/>
      <c r="P143" s="17"/>
      <c r="Q143" s="17"/>
      <c r="R143" s="17"/>
      <c r="S143" s="17"/>
      <c r="T143" s="17"/>
      <c r="U143" s="17"/>
      <c r="V143" s="254"/>
      <c r="W143" s="254"/>
      <c r="X143" s="182"/>
      <c r="Y143" s="166"/>
      <c r="Z143" s="154"/>
      <c r="AA143" s="154"/>
      <c r="AB143" s="6"/>
      <c r="AC143" s="6"/>
    </row>
    <row r="144" spans="2:29" customFormat="1" x14ac:dyDescent="0.25">
      <c r="B144" s="266"/>
      <c r="D144" s="74"/>
      <c r="E144" s="74"/>
      <c r="F144" s="74"/>
      <c r="G144" s="74"/>
      <c r="H144" s="74"/>
      <c r="I144" s="74"/>
      <c r="J144" s="74"/>
      <c r="K144" s="74"/>
      <c r="L144" s="74"/>
      <c r="M144" s="528"/>
      <c r="N144" s="528"/>
      <c r="O144" s="528"/>
      <c r="P144" s="17"/>
      <c r="Q144" s="17"/>
      <c r="R144" s="17"/>
      <c r="S144" s="17"/>
      <c r="T144" s="17"/>
      <c r="U144" s="17"/>
      <c r="V144" s="254"/>
      <c r="W144" s="254"/>
      <c r="X144" s="182"/>
      <c r="Y144" s="166"/>
      <c r="Z144" s="154"/>
      <c r="AA144" s="154"/>
      <c r="AB144" s="6"/>
      <c r="AC144" s="6"/>
    </row>
    <row r="145" spans="2:29" customFormat="1" x14ac:dyDescent="0.25">
      <c r="B145" s="266"/>
      <c r="D145" s="74"/>
      <c r="E145" s="74"/>
      <c r="F145" s="74"/>
      <c r="G145" s="74"/>
      <c r="H145" s="74"/>
      <c r="I145" s="74"/>
      <c r="J145" s="74"/>
      <c r="K145" s="74"/>
      <c r="L145" s="74"/>
      <c r="M145" s="528"/>
      <c r="N145" s="528"/>
      <c r="O145" s="528"/>
      <c r="P145" s="17"/>
      <c r="Q145" s="17"/>
      <c r="R145" s="17"/>
      <c r="S145" s="17"/>
      <c r="T145" s="17"/>
      <c r="U145" s="17"/>
      <c r="V145" s="254"/>
      <c r="W145" s="254"/>
      <c r="X145" s="182"/>
      <c r="Y145" s="166"/>
      <c r="Z145" s="154"/>
      <c r="AA145" s="154"/>
      <c r="AB145" s="6"/>
      <c r="AC145" s="6"/>
    </row>
    <row r="146" spans="2:29" customFormat="1" x14ac:dyDescent="0.25">
      <c r="B146" s="266"/>
      <c r="D146" s="74"/>
      <c r="E146" s="74"/>
      <c r="F146" s="74"/>
      <c r="G146" s="74"/>
      <c r="H146" s="74"/>
      <c r="I146" s="74"/>
      <c r="J146" s="74"/>
      <c r="K146" s="74"/>
      <c r="L146" s="74"/>
      <c r="M146" s="528"/>
      <c r="N146" s="528"/>
      <c r="O146" s="528"/>
      <c r="P146" s="17"/>
      <c r="Q146" s="17"/>
      <c r="R146" s="17"/>
      <c r="S146" s="17"/>
      <c r="T146" s="17"/>
      <c r="U146" s="17"/>
      <c r="V146" s="254"/>
      <c r="W146" s="254"/>
      <c r="X146" s="182"/>
      <c r="Y146" s="166"/>
      <c r="Z146" s="154"/>
      <c r="AA146" s="154"/>
      <c r="AB146" s="6"/>
      <c r="AC146" s="6"/>
    </row>
    <row r="147" spans="2:29" customFormat="1" x14ac:dyDescent="0.25">
      <c r="B147" s="266"/>
      <c r="D147" s="74"/>
      <c r="E147" s="74"/>
      <c r="F147" s="74"/>
      <c r="G147" s="74"/>
      <c r="H147" s="74"/>
      <c r="I147" s="74"/>
      <c r="J147" s="74"/>
      <c r="K147" s="74"/>
      <c r="L147" s="74"/>
      <c r="M147" s="528"/>
      <c r="N147" s="528"/>
      <c r="O147" s="528"/>
      <c r="P147" s="17"/>
      <c r="Q147" s="17"/>
      <c r="R147" s="17"/>
      <c r="S147" s="17"/>
      <c r="T147" s="17"/>
      <c r="U147" s="17"/>
      <c r="V147" s="254"/>
      <c r="W147" s="254"/>
      <c r="X147" s="182"/>
      <c r="Y147" s="166"/>
      <c r="Z147" s="154"/>
      <c r="AA147" s="154"/>
      <c r="AB147" s="6"/>
      <c r="AC147" s="6"/>
    </row>
    <row r="148" spans="2:29" customFormat="1" x14ac:dyDescent="0.25">
      <c r="B148" s="266"/>
      <c r="D148" s="74"/>
      <c r="E148" s="74"/>
      <c r="F148" s="74"/>
      <c r="G148" s="74"/>
      <c r="H148" s="74"/>
      <c r="I148" s="74"/>
      <c r="J148" s="74"/>
      <c r="K148" s="74"/>
      <c r="L148" s="74"/>
      <c r="M148" s="528"/>
      <c r="N148" s="528"/>
      <c r="O148" s="528"/>
      <c r="P148" s="17"/>
      <c r="Q148" s="17"/>
      <c r="R148" s="17"/>
      <c r="S148" s="17"/>
      <c r="T148" s="17"/>
      <c r="U148" s="17"/>
      <c r="V148" s="254"/>
      <c r="W148" s="254"/>
      <c r="X148" s="182"/>
      <c r="Y148" s="166"/>
      <c r="Z148" s="154"/>
      <c r="AA148" s="154"/>
      <c r="AB148" s="6"/>
      <c r="AC148" s="6"/>
    </row>
    <row r="149" spans="2:29" customFormat="1" x14ac:dyDescent="0.25">
      <c r="B149" s="266"/>
      <c r="D149" s="74"/>
      <c r="E149" s="74"/>
      <c r="F149" s="74"/>
      <c r="G149" s="74"/>
      <c r="H149" s="74"/>
      <c r="I149" s="74"/>
      <c r="J149" s="74"/>
      <c r="K149" s="74"/>
      <c r="L149" s="74"/>
      <c r="M149" s="528"/>
      <c r="N149" s="528"/>
      <c r="O149" s="528"/>
      <c r="P149" s="17"/>
      <c r="Q149" s="17"/>
      <c r="R149" s="17"/>
      <c r="S149" s="17"/>
      <c r="T149" s="17"/>
      <c r="U149" s="17"/>
      <c r="V149" s="254"/>
      <c r="W149" s="254"/>
      <c r="X149" s="182"/>
      <c r="Y149" s="166"/>
      <c r="Z149" s="154"/>
      <c r="AA149" s="154"/>
      <c r="AB149" s="6"/>
      <c r="AC149" s="6"/>
    </row>
    <row r="150" spans="2:29" customFormat="1" x14ac:dyDescent="0.25">
      <c r="B150" s="266"/>
      <c r="D150" s="74"/>
      <c r="E150" s="74"/>
      <c r="F150" s="74"/>
      <c r="G150" s="74"/>
      <c r="H150" s="74"/>
      <c r="I150" s="74"/>
      <c r="J150" s="74"/>
      <c r="K150" s="74"/>
      <c r="L150" s="74"/>
      <c r="M150" s="528"/>
      <c r="N150" s="528"/>
      <c r="O150" s="528"/>
      <c r="P150" s="17"/>
      <c r="Q150" s="17"/>
      <c r="R150" s="17"/>
      <c r="S150" s="17"/>
      <c r="T150" s="17"/>
      <c r="U150" s="17"/>
      <c r="V150" s="254"/>
      <c r="W150" s="254"/>
      <c r="X150" s="182"/>
      <c r="Y150" s="166"/>
      <c r="Z150" s="154"/>
      <c r="AA150" s="154"/>
      <c r="AB150" s="6"/>
      <c r="AC150" s="6"/>
    </row>
    <row r="151" spans="2:29" customFormat="1" x14ac:dyDescent="0.25">
      <c r="B151" s="266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17"/>
      <c r="Q151" s="17"/>
      <c r="R151" s="17"/>
      <c r="S151" s="17"/>
      <c r="T151" s="17"/>
      <c r="U151" s="17"/>
      <c r="V151" s="254"/>
      <c r="W151" s="254"/>
      <c r="X151" s="182"/>
      <c r="Y151" s="166"/>
      <c r="Z151" s="154"/>
      <c r="AA151" s="154"/>
      <c r="AB151" s="6"/>
      <c r="AC151" s="6"/>
    </row>
    <row r="152" spans="2:29" customFormat="1" x14ac:dyDescent="0.25">
      <c r="B152" s="266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17"/>
      <c r="Q152" s="17"/>
      <c r="R152" s="17"/>
      <c r="S152" s="17"/>
      <c r="T152" s="17"/>
      <c r="U152" s="17"/>
      <c r="V152" s="254"/>
      <c r="W152" s="254"/>
      <c r="X152" s="182"/>
      <c r="Y152" s="166"/>
      <c r="Z152" s="154"/>
      <c r="AA152" s="154"/>
      <c r="AB152" s="6"/>
      <c r="AC152" s="6"/>
    </row>
    <row r="153" spans="2:29" customFormat="1" x14ac:dyDescent="0.25">
      <c r="B153" s="266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17"/>
      <c r="Q153" s="17"/>
      <c r="R153" s="17"/>
      <c r="S153" s="17"/>
      <c r="T153" s="17"/>
      <c r="U153" s="17"/>
      <c r="V153" s="254"/>
      <c r="W153" s="254"/>
      <c r="X153" s="182"/>
      <c r="Y153" s="166"/>
      <c r="Z153" s="154"/>
      <c r="AA153" s="154"/>
      <c r="AB153" s="6"/>
      <c r="AC153" s="6"/>
    </row>
    <row r="154" spans="2:29" customFormat="1" x14ac:dyDescent="0.25">
      <c r="B154" s="266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17"/>
      <c r="Q154" s="17"/>
      <c r="R154" s="17"/>
      <c r="S154" s="17"/>
      <c r="T154" s="17"/>
      <c r="U154" s="17"/>
      <c r="V154" s="254"/>
      <c r="W154" s="254"/>
      <c r="X154" s="182"/>
      <c r="Y154" s="166"/>
      <c r="Z154" s="154"/>
      <c r="AA154" s="154"/>
      <c r="AB154" s="6"/>
      <c r="AC154" s="6"/>
    </row>
    <row r="155" spans="2:29" customFormat="1" x14ac:dyDescent="0.25">
      <c r="B155" s="266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17"/>
      <c r="Q155" s="17"/>
      <c r="R155" s="17"/>
      <c r="S155" s="17"/>
      <c r="T155" s="17"/>
      <c r="U155" s="17"/>
      <c r="V155" s="254"/>
      <c r="W155" s="254"/>
      <c r="X155" s="182"/>
      <c r="Y155" s="166"/>
      <c r="Z155" s="154"/>
      <c r="AA155" s="154"/>
      <c r="AB155" s="6"/>
      <c r="AC155" s="6"/>
    </row>
    <row r="156" spans="2:29" customFormat="1" x14ac:dyDescent="0.25">
      <c r="B156" s="266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17"/>
      <c r="Q156" s="17"/>
      <c r="R156" s="17"/>
      <c r="S156" s="17"/>
      <c r="T156" s="17"/>
      <c r="U156" s="17"/>
      <c r="V156" s="254"/>
      <c r="W156" s="254"/>
      <c r="X156" s="182"/>
      <c r="Y156" s="166"/>
      <c r="Z156" s="154"/>
      <c r="AA156" s="154"/>
      <c r="AB156" s="6"/>
      <c r="AC156" s="6"/>
    </row>
    <row r="157" spans="2:29" customFormat="1" x14ac:dyDescent="0.25">
      <c r="B157" s="266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17"/>
      <c r="Q157" s="17"/>
      <c r="R157" s="17"/>
      <c r="S157" s="17"/>
      <c r="T157" s="17"/>
      <c r="U157" s="17"/>
      <c r="V157" s="254"/>
      <c r="W157" s="254"/>
      <c r="X157" s="182"/>
      <c r="Y157" s="166"/>
      <c r="Z157" s="154"/>
      <c r="AA157" s="154"/>
      <c r="AB157" s="6"/>
      <c r="AC157" s="6"/>
    </row>
    <row r="158" spans="2:29" customFormat="1" x14ac:dyDescent="0.25">
      <c r="B158" s="266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17"/>
      <c r="Q158" s="17"/>
      <c r="R158" s="17"/>
      <c r="S158" s="17"/>
      <c r="T158" s="17"/>
      <c r="U158" s="17"/>
      <c r="V158" s="254"/>
      <c r="W158" s="254"/>
      <c r="X158" s="182"/>
      <c r="Y158" s="166"/>
      <c r="Z158" s="154"/>
      <c r="AA158" s="154"/>
      <c r="AB158" s="6"/>
      <c r="AC158" s="6"/>
    </row>
    <row r="159" spans="2:29" customFormat="1" x14ac:dyDescent="0.25">
      <c r="B159" s="266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17"/>
      <c r="Q159" s="17"/>
      <c r="R159" s="17"/>
      <c r="S159" s="17"/>
      <c r="T159" s="17"/>
      <c r="U159" s="17"/>
      <c r="V159" s="254"/>
      <c r="W159" s="254"/>
      <c r="X159" s="182"/>
      <c r="Y159" s="166"/>
      <c r="Z159" s="154"/>
      <c r="AA159" s="154"/>
      <c r="AB159" s="6"/>
      <c r="AC159" s="6"/>
    </row>
    <row r="160" spans="2:29" customFormat="1" x14ac:dyDescent="0.25">
      <c r="B160" s="266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17"/>
      <c r="Q160" s="17"/>
      <c r="R160" s="17"/>
      <c r="S160" s="17"/>
      <c r="T160" s="17"/>
      <c r="U160" s="17"/>
      <c r="V160" s="254"/>
      <c r="W160" s="254"/>
      <c r="X160" s="182"/>
      <c r="Y160" s="166"/>
      <c r="Z160" s="154"/>
      <c r="AA160" s="154"/>
      <c r="AB160" s="6"/>
      <c r="AC160" s="6"/>
    </row>
    <row r="161" spans="2:29" customFormat="1" x14ac:dyDescent="0.25">
      <c r="B161" s="266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17"/>
      <c r="Q161" s="17"/>
      <c r="R161" s="17"/>
      <c r="S161" s="17"/>
      <c r="T161" s="17"/>
      <c r="U161" s="17"/>
      <c r="V161" s="254"/>
      <c r="W161" s="254"/>
      <c r="X161" s="182"/>
      <c r="Y161" s="166"/>
      <c r="Z161" s="154"/>
      <c r="AA161" s="154"/>
      <c r="AB161" s="6"/>
      <c r="AC161" s="6"/>
    </row>
    <row r="162" spans="2:29" customFormat="1" x14ac:dyDescent="0.25">
      <c r="B162" s="266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17"/>
      <c r="Q162" s="17"/>
      <c r="R162" s="17"/>
      <c r="S162" s="17"/>
      <c r="T162" s="17"/>
      <c r="U162" s="17"/>
      <c r="V162" s="254"/>
      <c r="W162" s="254"/>
      <c r="X162" s="182"/>
      <c r="Y162" s="166"/>
      <c r="Z162" s="154"/>
      <c r="AA162" s="154"/>
      <c r="AB162" s="6"/>
      <c r="AC162" s="6"/>
    </row>
    <row r="163" spans="2:29" customFormat="1" x14ac:dyDescent="0.25">
      <c r="B163" s="266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17"/>
      <c r="Q163" s="17"/>
      <c r="R163" s="17"/>
      <c r="S163" s="17"/>
      <c r="T163" s="17"/>
      <c r="U163" s="17"/>
      <c r="V163" s="254"/>
      <c r="W163" s="254"/>
      <c r="X163" s="182"/>
      <c r="Y163" s="166"/>
      <c r="Z163" s="154"/>
      <c r="AA163" s="154"/>
      <c r="AB163" s="6"/>
      <c r="AC163" s="6"/>
    </row>
    <row r="164" spans="2:29" customFormat="1" x14ac:dyDescent="0.25">
      <c r="B164" s="266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17"/>
      <c r="Q164" s="17"/>
      <c r="R164" s="17"/>
      <c r="S164" s="17"/>
      <c r="T164" s="17"/>
      <c r="U164" s="17"/>
      <c r="V164" s="254"/>
      <c r="W164" s="254"/>
      <c r="X164" s="182"/>
      <c r="Y164" s="166"/>
      <c r="Z164" s="154"/>
      <c r="AA164" s="154"/>
      <c r="AB164" s="6"/>
      <c r="AC164" s="6"/>
    </row>
    <row r="165" spans="2:29" customFormat="1" x14ac:dyDescent="0.25">
      <c r="B165" s="266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17"/>
      <c r="Q165" s="17"/>
      <c r="R165" s="17"/>
      <c r="S165" s="17"/>
      <c r="T165" s="17"/>
      <c r="U165" s="17"/>
      <c r="V165" s="254"/>
      <c r="W165" s="254"/>
      <c r="X165" s="182"/>
      <c r="Y165" s="166"/>
      <c r="Z165" s="154"/>
      <c r="AA165" s="154"/>
      <c r="AB165" s="6"/>
      <c r="AC165" s="6"/>
    </row>
    <row r="166" spans="2:29" customFormat="1" x14ac:dyDescent="0.25">
      <c r="B166" s="266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17"/>
      <c r="Q166" s="17"/>
      <c r="R166" s="17"/>
      <c r="S166" s="17"/>
      <c r="T166" s="17"/>
      <c r="U166" s="17"/>
      <c r="V166" s="254"/>
      <c r="W166" s="254"/>
      <c r="X166" s="182"/>
      <c r="Y166" s="166"/>
      <c r="Z166" s="154"/>
      <c r="AA166" s="154"/>
      <c r="AB166" s="6"/>
      <c r="AC166" s="6"/>
    </row>
    <row r="167" spans="2:29" customFormat="1" x14ac:dyDescent="0.25">
      <c r="B167" s="266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17"/>
      <c r="Q167" s="17"/>
      <c r="R167" s="17"/>
      <c r="S167" s="17"/>
      <c r="T167" s="17"/>
      <c r="U167" s="17"/>
      <c r="V167" s="254"/>
      <c r="W167" s="254"/>
      <c r="X167" s="182"/>
      <c r="Y167" s="166"/>
      <c r="Z167" s="154"/>
      <c r="AA167" s="154"/>
      <c r="AB167" s="6"/>
      <c r="AC167" s="6"/>
    </row>
    <row r="168" spans="2:29" customFormat="1" x14ac:dyDescent="0.25">
      <c r="B168" s="266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17"/>
      <c r="Q168" s="17"/>
      <c r="R168" s="17"/>
      <c r="S168" s="17"/>
      <c r="T168" s="17"/>
      <c r="U168" s="17"/>
      <c r="V168" s="254"/>
      <c r="W168" s="254"/>
      <c r="X168" s="182"/>
      <c r="Y168" s="166"/>
      <c r="Z168" s="154"/>
      <c r="AA168" s="154"/>
      <c r="AB168" s="6"/>
      <c r="AC168" s="6"/>
    </row>
    <row r="169" spans="2:29" customFormat="1" x14ac:dyDescent="0.25">
      <c r="B169" s="266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17"/>
      <c r="Q169" s="17"/>
      <c r="R169" s="17"/>
      <c r="S169" s="17"/>
      <c r="T169" s="17"/>
      <c r="U169" s="17"/>
      <c r="V169" s="254"/>
      <c r="W169" s="254"/>
      <c r="X169" s="182"/>
      <c r="Y169" s="166"/>
      <c r="Z169" s="154"/>
      <c r="AA169" s="154"/>
      <c r="AB169" s="6"/>
      <c r="AC169" s="6"/>
    </row>
    <row r="170" spans="2:29" customFormat="1" x14ac:dyDescent="0.25">
      <c r="B170" s="266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17"/>
      <c r="Q170" s="17"/>
      <c r="R170" s="17"/>
      <c r="S170" s="17"/>
      <c r="T170" s="17"/>
      <c r="U170" s="17"/>
      <c r="V170" s="254"/>
      <c r="W170" s="254"/>
      <c r="X170" s="182"/>
      <c r="Y170" s="166"/>
      <c r="Z170" s="154"/>
      <c r="AA170" s="154"/>
      <c r="AB170" s="6"/>
      <c r="AC170" s="6"/>
    </row>
    <row r="171" spans="2:29" customFormat="1" x14ac:dyDescent="0.25">
      <c r="B171" s="266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17"/>
      <c r="Q171" s="17"/>
      <c r="R171" s="17"/>
      <c r="S171" s="17"/>
      <c r="T171" s="17"/>
      <c r="U171" s="17"/>
      <c r="V171" s="254"/>
      <c r="W171" s="254"/>
      <c r="X171" s="182"/>
      <c r="Y171" s="166"/>
      <c r="Z171" s="154"/>
      <c r="AA171" s="154"/>
      <c r="AB171" s="6"/>
      <c r="AC171" s="6"/>
    </row>
    <row r="172" spans="2:29" customFormat="1" x14ac:dyDescent="0.25">
      <c r="B172" s="266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17"/>
      <c r="Q172" s="17"/>
      <c r="R172" s="17"/>
      <c r="S172" s="17"/>
      <c r="T172" s="17"/>
      <c r="U172" s="17"/>
      <c r="V172" s="254"/>
      <c r="W172" s="254"/>
      <c r="X172" s="182"/>
      <c r="Y172" s="166"/>
      <c r="Z172" s="154"/>
      <c r="AA172" s="154"/>
      <c r="AB172" s="6"/>
      <c r="AC172" s="6"/>
    </row>
    <row r="173" spans="2:29" customFormat="1" x14ac:dyDescent="0.25">
      <c r="B173" s="266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17"/>
      <c r="Q173" s="17"/>
      <c r="R173" s="17"/>
      <c r="S173" s="17"/>
      <c r="T173" s="17"/>
      <c r="U173" s="17"/>
      <c r="V173" s="254"/>
      <c r="W173" s="254"/>
      <c r="X173" s="182"/>
      <c r="Y173" s="166"/>
      <c r="Z173" s="154"/>
      <c r="AA173" s="154"/>
      <c r="AB173" s="6"/>
      <c r="AC173" s="6"/>
    </row>
    <row r="174" spans="2:29" customFormat="1" x14ac:dyDescent="0.25">
      <c r="B174" s="266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17"/>
      <c r="Q174" s="17"/>
      <c r="R174" s="17"/>
      <c r="S174" s="17"/>
      <c r="T174" s="17"/>
      <c r="U174" s="17"/>
      <c r="V174" s="254"/>
      <c r="W174" s="254"/>
      <c r="X174" s="182"/>
      <c r="Y174" s="166"/>
      <c r="Z174" s="154"/>
      <c r="AA174" s="154"/>
      <c r="AB174" s="6"/>
      <c r="AC174" s="6"/>
    </row>
    <row r="175" spans="2:29" customFormat="1" x14ac:dyDescent="0.25">
      <c r="B175" s="266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17"/>
      <c r="Q175" s="17"/>
      <c r="R175" s="17"/>
      <c r="S175" s="17"/>
      <c r="T175" s="17"/>
      <c r="U175" s="17"/>
      <c r="V175" s="254"/>
      <c r="W175" s="254"/>
      <c r="X175" s="182"/>
      <c r="Y175" s="166"/>
      <c r="Z175" s="154"/>
      <c r="AA175" s="154"/>
      <c r="AB175" s="6"/>
      <c r="AC175" s="6"/>
    </row>
    <row r="176" spans="2:29" customFormat="1" x14ac:dyDescent="0.25">
      <c r="B176" s="266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T176" s="17"/>
      <c r="U176" s="17"/>
      <c r="V176" s="254"/>
      <c r="W176" s="254"/>
      <c r="X176" s="182"/>
      <c r="Y176" s="166"/>
      <c r="Z176" s="154"/>
      <c r="AA176" s="154"/>
      <c r="AB176" s="6"/>
      <c r="AC176" s="6"/>
    </row>
    <row r="177" spans="2:29" customFormat="1" x14ac:dyDescent="0.25">
      <c r="B177" s="266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X177" s="182"/>
      <c r="Y177" s="165"/>
      <c r="Z177" s="6"/>
      <c r="AA177" s="6"/>
      <c r="AB177" s="6"/>
      <c r="AC177" s="6"/>
    </row>
    <row r="178" spans="2:29" customFormat="1" x14ac:dyDescent="0.25">
      <c r="B178" s="266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X178" s="182"/>
      <c r="Y178" s="165"/>
      <c r="Z178" s="6"/>
      <c r="AA178" s="6"/>
      <c r="AB178" s="6"/>
      <c r="AC178" s="6"/>
    </row>
    <row r="179" spans="2:29" customFormat="1" x14ac:dyDescent="0.25">
      <c r="B179" s="266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X179" s="182"/>
      <c r="Y179" s="165"/>
      <c r="Z179" s="6"/>
      <c r="AA179" s="6"/>
      <c r="AB179" s="6"/>
      <c r="AC179" s="6"/>
    </row>
    <row r="180" spans="2:29" customFormat="1" x14ac:dyDescent="0.25">
      <c r="B180" s="266"/>
      <c r="D180" s="100"/>
      <c r="E180" s="100"/>
      <c r="F180" s="100"/>
      <c r="X180" s="182"/>
      <c r="Y180" s="165"/>
      <c r="Z180" s="6"/>
      <c r="AA180" s="6"/>
      <c r="AB180" s="6"/>
      <c r="AC180" s="6"/>
    </row>
    <row r="181" spans="2:29" customFormat="1" x14ac:dyDescent="0.25">
      <c r="B181" s="266"/>
      <c r="D181" s="100"/>
      <c r="E181" s="100"/>
      <c r="F181" s="100"/>
      <c r="X181" s="182"/>
      <c r="Y181" s="165"/>
      <c r="Z181" s="6"/>
      <c r="AA181" s="6"/>
      <c r="AB181" s="6"/>
      <c r="AC181" s="6"/>
    </row>
    <row r="182" spans="2:29" customFormat="1" x14ac:dyDescent="0.25">
      <c r="B182" s="266"/>
      <c r="D182" s="100"/>
      <c r="E182" s="100"/>
      <c r="F182" s="100"/>
      <c r="X182" s="182"/>
      <c r="Y182" s="165"/>
      <c r="Z182" s="6"/>
      <c r="AA182" s="6"/>
      <c r="AB182" s="6"/>
      <c r="AC182" s="6"/>
    </row>
    <row r="183" spans="2:29" customFormat="1" x14ac:dyDescent="0.25">
      <c r="B183" s="266"/>
      <c r="D183" s="100"/>
      <c r="E183" s="100"/>
      <c r="F183" s="100"/>
      <c r="X183" s="182"/>
      <c r="Y183" s="165"/>
      <c r="Z183" s="6"/>
      <c r="AA183" s="6"/>
      <c r="AB183" s="6"/>
      <c r="AC183" s="6"/>
    </row>
    <row r="184" spans="2:29" customFormat="1" x14ac:dyDescent="0.25">
      <c r="B184" s="266"/>
      <c r="D184" s="100"/>
      <c r="E184" s="100"/>
      <c r="F184" s="100"/>
      <c r="X184" s="182"/>
      <c r="Y184" s="165"/>
      <c r="Z184" s="6"/>
      <c r="AA184" s="6"/>
      <c r="AB184" s="6"/>
      <c r="AC184" s="6"/>
    </row>
    <row r="185" spans="2:29" customFormat="1" x14ac:dyDescent="0.25">
      <c r="B185" s="266"/>
      <c r="D185" s="100"/>
      <c r="E185" s="100"/>
      <c r="F185" s="100"/>
      <c r="X185" s="182"/>
      <c r="Y185" s="165"/>
      <c r="Z185" s="6"/>
      <c r="AA185" s="6"/>
      <c r="AB185" s="6"/>
      <c r="AC185" s="6"/>
    </row>
    <row r="186" spans="2:29" customFormat="1" x14ac:dyDescent="0.25">
      <c r="B186" s="266"/>
      <c r="D186" s="100"/>
      <c r="E186" s="100"/>
      <c r="F186" s="100"/>
      <c r="X186" s="182"/>
      <c r="Y186" s="165"/>
      <c r="Z186" s="6"/>
      <c r="AA186" s="6"/>
      <c r="AB186" s="6"/>
      <c r="AC186" s="6"/>
    </row>
    <row r="187" spans="2:29" customFormat="1" x14ac:dyDescent="0.25">
      <c r="B187" s="266"/>
      <c r="D187" s="100"/>
      <c r="E187" s="100"/>
      <c r="F187" s="100"/>
      <c r="X187" s="182"/>
      <c r="Y187" s="165"/>
      <c r="Z187" s="6"/>
      <c r="AA187" s="6"/>
      <c r="AB187" s="6"/>
      <c r="AC187" s="6"/>
    </row>
    <row r="188" spans="2:29" customFormat="1" x14ac:dyDescent="0.25">
      <c r="B188" s="266"/>
      <c r="D188" s="100"/>
      <c r="E188" s="100"/>
      <c r="F188" s="100"/>
      <c r="X188" s="154"/>
      <c r="Y188" s="165"/>
      <c r="Z188" s="6"/>
      <c r="AA188" s="6"/>
      <c r="AB188" s="6"/>
      <c r="AC188" s="6"/>
    </row>
    <row r="189" spans="2:29" customFormat="1" x14ac:dyDescent="0.25">
      <c r="B189" s="266"/>
      <c r="D189" s="100"/>
      <c r="E189" s="100"/>
      <c r="F189" s="100"/>
      <c r="X189" s="154"/>
      <c r="Y189" s="165"/>
      <c r="Z189" s="6"/>
      <c r="AA189" s="6"/>
      <c r="AB189" s="6"/>
      <c r="AC189" s="6"/>
    </row>
    <row r="190" spans="2:29" customFormat="1" x14ac:dyDescent="0.25">
      <c r="B190" s="266"/>
      <c r="D190" s="100"/>
      <c r="E190" s="100"/>
      <c r="F190" s="100"/>
      <c r="X190" s="154"/>
      <c r="Y190" s="165"/>
      <c r="Z190" s="6"/>
      <c r="AA190" s="6"/>
      <c r="AB190" s="6"/>
      <c r="AC190" s="6"/>
    </row>
    <row r="191" spans="2:29" customFormat="1" x14ac:dyDescent="0.25">
      <c r="B191" s="266"/>
      <c r="D191" s="100"/>
      <c r="E191" s="100"/>
      <c r="F191" s="100"/>
      <c r="X191" s="154"/>
      <c r="Y191" s="165"/>
      <c r="Z191" s="6"/>
      <c r="AA191" s="6"/>
      <c r="AB191" s="6"/>
      <c r="AC191" s="6"/>
    </row>
    <row r="192" spans="2:29" customFormat="1" x14ac:dyDescent="0.25">
      <c r="B192" s="266"/>
      <c r="D192" s="100"/>
      <c r="E192" s="100"/>
      <c r="F192" s="100"/>
      <c r="X192" s="154"/>
      <c r="Y192" s="165"/>
      <c r="Z192" s="6"/>
      <c r="AA192" s="6"/>
      <c r="AB192" s="6"/>
      <c r="AC192" s="6"/>
    </row>
    <row r="193" spans="2:29" customFormat="1" x14ac:dyDescent="0.25">
      <c r="B193" s="266"/>
      <c r="D193" s="100"/>
      <c r="E193" s="100"/>
      <c r="F193" s="100"/>
      <c r="X193" s="154"/>
      <c r="Y193" s="165"/>
      <c r="Z193" s="6"/>
      <c r="AA193" s="6"/>
      <c r="AB193" s="6"/>
      <c r="AC193" s="6"/>
    </row>
    <row r="194" spans="2:29" customFormat="1" x14ac:dyDescent="0.25">
      <c r="B194" s="266"/>
      <c r="D194" s="100"/>
      <c r="E194" s="100"/>
      <c r="F194" s="100"/>
      <c r="X194" s="154"/>
      <c r="Y194" s="165"/>
      <c r="Z194" s="6"/>
      <c r="AA194" s="6"/>
      <c r="AB194" s="6"/>
      <c r="AC194" s="6"/>
    </row>
    <row r="195" spans="2:29" customFormat="1" x14ac:dyDescent="0.25">
      <c r="B195" s="266"/>
      <c r="D195" s="100"/>
      <c r="E195" s="100"/>
      <c r="F195" s="100"/>
      <c r="X195" s="154"/>
      <c r="Y195" s="165"/>
      <c r="Z195" s="6"/>
      <c r="AA195" s="6"/>
      <c r="AB195" s="6"/>
      <c r="AC195" s="6"/>
    </row>
    <row r="196" spans="2:29" customFormat="1" x14ac:dyDescent="0.25">
      <c r="B196" s="266"/>
      <c r="D196" s="100"/>
      <c r="E196" s="100"/>
      <c r="F196" s="100"/>
      <c r="X196" s="154"/>
      <c r="Y196" s="165"/>
      <c r="Z196" s="6"/>
      <c r="AA196" s="6"/>
      <c r="AB196" s="6"/>
      <c r="AC196" s="6"/>
    </row>
    <row r="197" spans="2:29" customFormat="1" x14ac:dyDescent="0.25">
      <c r="B197" s="266"/>
      <c r="D197" s="100"/>
      <c r="E197" s="100"/>
      <c r="F197" s="100"/>
      <c r="X197" s="154"/>
      <c r="Y197" s="165"/>
      <c r="Z197" s="6"/>
      <c r="AA197" s="6"/>
      <c r="AB197" s="6"/>
      <c r="AC197" s="6"/>
    </row>
    <row r="198" spans="2:29" customFormat="1" x14ac:dyDescent="0.25">
      <c r="B198" s="266"/>
      <c r="D198" s="100"/>
      <c r="E198" s="100"/>
      <c r="F198" s="100"/>
      <c r="X198" s="154"/>
      <c r="Y198" s="165"/>
      <c r="Z198" s="6"/>
      <c r="AA198" s="6"/>
      <c r="AB198" s="6"/>
      <c r="AC198" s="6"/>
    </row>
    <row r="199" spans="2:29" customFormat="1" x14ac:dyDescent="0.25">
      <c r="B199" s="266"/>
      <c r="D199" s="100"/>
      <c r="E199" s="100"/>
      <c r="F199" s="100"/>
      <c r="X199" s="154"/>
      <c r="Y199" s="165"/>
      <c r="Z199" s="6"/>
      <c r="AA199" s="6"/>
      <c r="AB199" s="6"/>
      <c r="AC199" s="6"/>
    </row>
    <row r="200" spans="2:29" customFormat="1" x14ac:dyDescent="0.25">
      <c r="B200" s="266"/>
      <c r="D200" s="100"/>
      <c r="E200" s="100"/>
      <c r="F200" s="100"/>
      <c r="X200" s="154"/>
      <c r="Y200" s="165"/>
      <c r="Z200" s="6"/>
      <c r="AA200" s="6"/>
      <c r="AB200" s="6"/>
      <c r="AC200" s="6"/>
    </row>
    <row r="201" spans="2:29" customFormat="1" x14ac:dyDescent="0.25">
      <c r="B201" s="266"/>
      <c r="D201" s="100"/>
      <c r="E201" s="100"/>
      <c r="F201" s="100"/>
      <c r="X201" s="154"/>
      <c r="Y201" s="165"/>
      <c r="Z201" s="6"/>
      <c r="AA201" s="6"/>
      <c r="AB201" s="6"/>
      <c r="AC201" s="6"/>
    </row>
    <row r="202" spans="2:29" customFormat="1" x14ac:dyDescent="0.25">
      <c r="B202" s="266"/>
      <c r="D202" s="100"/>
      <c r="E202" s="100"/>
      <c r="F202" s="100"/>
      <c r="X202" s="154"/>
      <c r="Y202" s="165"/>
      <c r="Z202" s="6"/>
      <c r="AA202" s="6"/>
      <c r="AB202" s="6"/>
      <c r="AC202" s="6"/>
    </row>
    <row r="203" spans="2:29" customFormat="1" x14ac:dyDescent="0.25">
      <c r="B203" s="266"/>
      <c r="D203" s="100"/>
      <c r="E203" s="100"/>
      <c r="F203" s="100"/>
      <c r="X203" s="154"/>
      <c r="Y203" s="165"/>
      <c r="Z203" s="6"/>
      <c r="AA203" s="6"/>
      <c r="AB203" s="6"/>
      <c r="AC203" s="6"/>
    </row>
    <row r="204" spans="2:29" customFormat="1" x14ac:dyDescent="0.25">
      <c r="B204" s="266"/>
      <c r="D204" s="100"/>
      <c r="E204" s="100"/>
      <c r="F204" s="100"/>
      <c r="X204" s="154"/>
      <c r="Y204" s="165"/>
      <c r="Z204" s="6"/>
      <c r="AA204" s="6"/>
      <c r="AB204" s="6"/>
      <c r="AC204" s="6"/>
    </row>
    <row r="205" spans="2:29" customFormat="1" x14ac:dyDescent="0.25">
      <c r="B205" s="266"/>
      <c r="D205" s="100"/>
      <c r="E205" s="100"/>
      <c r="F205" s="100"/>
      <c r="X205" s="154"/>
      <c r="Y205" s="165"/>
      <c r="Z205" s="6"/>
      <c r="AA205" s="6"/>
      <c r="AB205" s="6"/>
      <c r="AC205" s="6"/>
    </row>
    <row r="206" spans="2:29" customFormat="1" x14ac:dyDescent="0.25">
      <c r="B206" s="266"/>
      <c r="D206" s="100"/>
      <c r="E206" s="100"/>
      <c r="F206" s="100"/>
      <c r="X206" s="154"/>
      <c r="Y206" s="165"/>
      <c r="Z206" s="6"/>
      <c r="AA206" s="6"/>
      <c r="AB206" s="6"/>
      <c r="AC206" s="6"/>
    </row>
    <row r="207" spans="2:29" customFormat="1" x14ac:dyDescent="0.25">
      <c r="B207" s="266"/>
      <c r="D207" s="100"/>
      <c r="E207" s="100"/>
      <c r="F207" s="100"/>
      <c r="X207" s="154"/>
      <c r="Y207" s="165"/>
      <c r="Z207" s="6"/>
      <c r="AA207" s="6"/>
      <c r="AB207" s="6"/>
      <c r="AC207" s="6"/>
    </row>
    <row r="208" spans="2:29" customFormat="1" x14ac:dyDescent="0.25">
      <c r="B208" s="266"/>
      <c r="D208" s="100"/>
      <c r="E208" s="100"/>
      <c r="F208" s="100"/>
      <c r="X208" s="154"/>
      <c r="Y208" s="165"/>
      <c r="Z208" s="6"/>
      <c r="AA208" s="6"/>
      <c r="AB208" s="6"/>
      <c r="AC208" s="6"/>
    </row>
    <row r="209" spans="2:29" customFormat="1" x14ac:dyDescent="0.25">
      <c r="B209" s="266"/>
      <c r="D209" s="100"/>
      <c r="E209" s="100"/>
      <c r="F209" s="100"/>
      <c r="X209" s="154"/>
      <c r="Y209" s="165"/>
      <c r="Z209" s="6"/>
      <c r="AA209" s="6"/>
      <c r="AB209" s="6"/>
      <c r="AC209" s="6"/>
    </row>
    <row r="210" spans="2:29" customFormat="1" x14ac:dyDescent="0.25">
      <c r="B210" s="266"/>
      <c r="D210" s="100"/>
      <c r="E210" s="100"/>
      <c r="F210" s="100"/>
      <c r="X210" s="154"/>
      <c r="Y210" s="165"/>
      <c r="Z210" s="6"/>
      <c r="AA210" s="6"/>
      <c r="AB210" s="6"/>
      <c r="AC210" s="6"/>
    </row>
    <row r="211" spans="2:29" customFormat="1" x14ac:dyDescent="0.25">
      <c r="B211" s="266"/>
      <c r="D211" s="100"/>
      <c r="E211" s="100"/>
      <c r="F211" s="100"/>
      <c r="X211" s="154"/>
      <c r="Y211" s="165"/>
      <c r="Z211" s="6"/>
      <c r="AA211" s="6"/>
      <c r="AB211" s="6"/>
      <c r="AC211" s="6"/>
    </row>
    <row r="212" spans="2:29" customFormat="1" x14ac:dyDescent="0.25">
      <c r="B212" s="266"/>
      <c r="D212" s="100"/>
      <c r="E212" s="100"/>
      <c r="F212" s="100"/>
      <c r="X212" s="154"/>
      <c r="Y212" s="165"/>
      <c r="Z212" s="6"/>
      <c r="AA212" s="6"/>
      <c r="AB212" s="6"/>
      <c r="AC212" s="6"/>
    </row>
    <row r="213" spans="2:29" customFormat="1" x14ac:dyDescent="0.25">
      <c r="B213" s="266"/>
      <c r="D213" s="100"/>
      <c r="E213" s="100"/>
      <c r="F213" s="100"/>
      <c r="X213" s="154"/>
      <c r="Y213" s="165"/>
      <c r="Z213" s="6"/>
      <c r="AA213" s="6"/>
      <c r="AB213" s="6"/>
      <c r="AC213" s="6"/>
    </row>
    <row r="214" spans="2:29" customFormat="1" x14ac:dyDescent="0.25">
      <c r="B214" s="266"/>
      <c r="D214" s="100"/>
      <c r="E214" s="100"/>
      <c r="F214" s="100"/>
      <c r="X214" s="154"/>
      <c r="Y214" s="165"/>
      <c r="Z214" s="6"/>
      <c r="AA214" s="6"/>
      <c r="AB214" s="6"/>
      <c r="AC214" s="6"/>
    </row>
    <row r="215" spans="2:29" customFormat="1" x14ac:dyDescent="0.25">
      <c r="B215" s="266"/>
      <c r="D215" s="100"/>
      <c r="E215" s="100"/>
      <c r="F215" s="100"/>
      <c r="X215" s="154"/>
      <c r="Y215" s="165"/>
      <c r="Z215" s="6"/>
      <c r="AA215" s="6"/>
      <c r="AB215" s="6"/>
      <c r="AC215" s="6"/>
    </row>
    <row r="216" spans="2:29" customFormat="1" x14ac:dyDescent="0.25">
      <c r="B216" s="266"/>
      <c r="D216" s="100"/>
      <c r="E216" s="100"/>
      <c r="F216" s="100"/>
      <c r="X216" s="154"/>
      <c r="Y216" s="165"/>
      <c r="Z216" s="6"/>
      <c r="AA216" s="6"/>
      <c r="AB216" s="6"/>
      <c r="AC216" s="6"/>
    </row>
    <row r="217" spans="2:29" customFormat="1" x14ac:dyDescent="0.25">
      <c r="B217" s="266"/>
      <c r="D217" s="100"/>
      <c r="E217" s="100"/>
      <c r="F217" s="100"/>
      <c r="X217" s="154"/>
      <c r="Y217" s="165"/>
      <c r="Z217" s="6"/>
      <c r="AA217" s="6"/>
      <c r="AB217" s="6"/>
      <c r="AC217" s="6"/>
    </row>
    <row r="218" spans="2:29" customFormat="1" x14ac:dyDescent="0.25">
      <c r="B218" s="266"/>
      <c r="D218" s="100"/>
      <c r="E218" s="100"/>
      <c r="F218" s="100"/>
      <c r="X218" s="154"/>
      <c r="Y218" s="165"/>
      <c r="Z218" s="6"/>
      <c r="AA218" s="6"/>
      <c r="AB218" s="6"/>
      <c r="AC218" s="6"/>
    </row>
    <row r="219" spans="2:29" customFormat="1" x14ac:dyDescent="0.25">
      <c r="B219" s="266"/>
      <c r="D219" s="100"/>
      <c r="E219" s="100"/>
      <c r="F219" s="100"/>
      <c r="X219" s="154"/>
      <c r="Y219" s="165"/>
      <c r="Z219" s="6"/>
      <c r="AA219" s="6"/>
      <c r="AB219" s="6"/>
      <c r="AC219" s="6"/>
    </row>
    <row r="220" spans="2:29" customFormat="1" x14ac:dyDescent="0.25">
      <c r="B220" s="266"/>
      <c r="D220" s="100"/>
      <c r="E220" s="100"/>
      <c r="F220" s="100"/>
      <c r="X220" s="154"/>
      <c r="Y220" s="165"/>
      <c r="Z220" s="6"/>
      <c r="AA220" s="6"/>
      <c r="AB220" s="6"/>
      <c r="AC220" s="6"/>
    </row>
    <row r="221" spans="2:29" customFormat="1" x14ac:dyDescent="0.25">
      <c r="B221" s="266"/>
      <c r="D221" s="100"/>
      <c r="E221" s="100"/>
      <c r="F221" s="100"/>
      <c r="X221" s="154"/>
      <c r="Y221" s="165"/>
      <c r="Z221" s="6"/>
      <c r="AA221" s="6"/>
      <c r="AB221" s="6"/>
      <c r="AC221" s="6"/>
    </row>
    <row r="222" spans="2:29" customFormat="1" x14ac:dyDescent="0.25">
      <c r="B222" s="266"/>
      <c r="D222" s="100"/>
      <c r="E222" s="100"/>
      <c r="F222" s="100"/>
      <c r="X222" s="154"/>
      <c r="Y222" s="165"/>
      <c r="Z222" s="6"/>
      <c r="AA222" s="6"/>
      <c r="AB222" s="6"/>
      <c r="AC222" s="6"/>
    </row>
    <row r="223" spans="2:29" customFormat="1" x14ac:dyDescent="0.25">
      <c r="B223" s="266"/>
      <c r="D223" s="100"/>
      <c r="E223" s="100"/>
      <c r="F223" s="100"/>
      <c r="X223" s="154"/>
      <c r="Y223" s="165"/>
      <c r="Z223" s="6"/>
      <c r="AA223" s="6"/>
      <c r="AB223" s="6"/>
      <c r="AC223" s="6"/>
    </row>
    <row r="224" spans="2:29" customFormat="1" x14ac:dyDescent="0.25">
      <c r="B224" s="266"/>
      <c r="D224" s="100"/>
      <c r="E224" s="100"/>
      <c r="F224" s="100"/>
      <c r="X224" s="154"/>
      <c r="Y224" s="165"/>
      <c r="Z224" s="6"/>
      <c r="AA224" s="6"/>
      <c r="AB224" s="6"/>
      <c r="AC224" s="6"/>
    </row>
    <row r="225" spans="2:29" customFormat="1" x14ac:dyDescent="0.25">
      <c r="B225" s="266"/>
      <c r="D225" s="100"/>
      <c r="E225" s="100"/>
      <c r="F225" s="100"/>
      <c r="X225" s="154"/>
      <c r="Y225" s="165"/>
      <c r="Z225" s="6"/>
      <c r="AA225" s="6"/>
      <c r="AB225" s="6"/>
      <c r="AC225" s="6"/>
    </row>
    <row r="226" spans="2:29" customFormat="1" x14ac:dyDescent="0.25">
      <c r="B226" s="266"/>
      <c r="D226" s="100"/>
      <c r="E226" s="100"/>
      <c r="F226" s="100"/>
      <c r="X226" s="154"/>
      <c r="Y226" s="165"/>
      <c r="Z226" s="6"/>
      <c r="AA226" s="6"/>
      <c r="AB226" s="6"/>
      <c r="AC226" s="6"/>
    </row>
    <row r="227" spans="2:29" customFormat="1" x14ac:dyDescent="0.25">
      <c r="B227" s="266"/>
      <c r="D227" s="100"/>
      <c r="E227" s="100"/>
      <c r="F227" s="100"/>
      <c r="X227" s="154"/>
      <c r="Y227" s="165"/>
      <c r="Z227" s="6"/>
      <c r="AA227" s="6"/>
      <c r="AB227" s="6"/>
      <c r="AC227" s="6"/>
    </row>
    <row r="228" spans="2:29" customFormat="1" x14ac:dyDescent="0.25">
      <c r="B228" s="266"/>
      <c r="D228" s="100"/>
      <c r="E228" s="100"/>
      <c r="F228" s="100"/>
      <c r="X228" s="154"/>
      <c r="Y228" s="165"/>
      <c r="Z228" s="6"/>
      <c r="AA228" s="6"/>
      <c r="AB228" s="6"/>
      <c r="AC228" s="6"/>
    </row>
    <row r="229" spans="2:29" customFormat="1" x14ac:dyDescent="0.25">
      <c r="B229" s="266"/>
      <c r="D229" s="100"/>
      <c r="E229" s="100"/>
      <c r="F229" s="100"/>
      <c r="X229" s="154"/>
      <c r="Y229" s="165"/>
      <c r="Z229" s="6"/>
      <c r="AA229" s="6"/>
      <c r="AB229" s="6"/>
      <c r="AC229" s="6"/>
    </row>
    <row r="230" spans="2:29" customFormat="1" x14ac:dyDescent="0.25">
      <c r="B230" s="266"/>
      <c r="D230" s="100"/>
      <c r="E230" s="100"/>
      <c r="F230" s="100"/>
      <c r="X230" s="154"/>
      <c r="Y230" s="165"/>
      <c r="Z230" s="6"/>
      <c r="AA230" s="6"/>
      <c r="AB230" s="6"/>
      <c r="AC230" s="6"/>
    </row>
    <row r="231" spans="2:29" customFormat="1" x14ac:dyDescent="0.25">
      <c r="B231" s="266"/>
      <c r="D231" s="100"/>
      <c r="E231" s="100"/>
      <c r="F231" s="100"/>
      <c r="X231" s="154"/>
      <c r="Y231" s="165"/>
      <c r="Z231" s="6"/>
      <c r="AA231" s="6"/>
      <c r="AB231" s="6"/>
      <c r="AC231" s="6"/>
    </row>
    <row r="232" spans="2:29" customFormat="1" x14ac:dyDescent="0.25">
      <c r="B232" s="266"/>
      <c r="D232" s="100"/>
      <c r="E232" s="100"/>
      <c r="F232" s="100"/>
      <c r="X232" s="154"/>
      <c r="Y232" s="165"/>
      <c r="Z232" s="6"/>
      <c r="AA232" s="6"/>
      <c r="AB232" s="6"/>
      <c r="AC232" s="6"/>
    </row>
    <row r="233" spans="2:29" customFormat="1" x14ac:dyDescent="0.25">
      <c r="B233" s="266"/>
      <c r="D233" s="100"/>
      <c r="E233" s="100"/>
      <c r="F233" s="100"/>
      <c r="X233" s="154"/>
      <c r="Y233" s="165"/>
      <c r="Z233" s="6"/>
      <c r="AA233" s="6"/>
      <c r="AB233" s="6"/>
      <c r="AC233" s="6"/>
    </row>
    <row r="234" spans="2:29" customFormat="1" x14ac:dyDescent="0.25">
      <c r="B234" s="266"/>
      <c r="D234" s="100"/>
      <c r="E234" s="100"/>
      <c r="F234" s="100"/>
      <c r="X234" s="154"/>
      <c r="Y234" s="165"/>
      <c r="Z234" s="6"/>
      <c r="AA234" s="6"/>
      <c r="AB234" s="6"/>
      <c r="AC234" s="6"/>
    </row>
    <row r="235" spans="2:29" customFormat="1" x14ac:dyDescent="0.25">
      <c r="B235" s="266"/>
      <c r="D235" s="100"/>
      <c r="E235" s="100"/>
      <c r="F235" s="100"/>
      <c r="X235" s="154"/>
      <c r="Y235" s="165"/>
      <c r="Z235" s="6"/>
      <c r="AA235" s="6"/>
      <c r="AB235" s="6"/>
      <c r="AC235" s="6"/>
    </row>
    <row r="236" spans="2:29" customFormat="1" x14ac:dyDescent="0.25">
      <c r="B236" s="266"/>
      <c r="D236" s="100"/>
      <c r="E236" s="100"/>
      <c r="F236" s="100"/>
      <c r="X236" s="154"/>
      <c r="Y236" s="165"/>
      <c r="Z236" s="6"/>
      <c r="AA236" s="6"/>
      <c r="AB236" s="6"/>
      <c r="AC236" s="6"/>
    </row>
    <row r="237" spans="2:29" customFormat="1" x14ac:dyDescent="0.25">
      <c r="B237" s="266"/>
      <c r="D237" s="100"/>
      <c r="E237" s="100"/>
      <c r="F237" s="100"/>
      <c r="X237" s="154"/>
      <c r="Y237" s="165"/>
      <c r="Z237" s="6"/>
      <c r="AA237" s="6"/>
      <c r="AB237" s="6"/>
      <c r="AC237" s="6"/>
    </row>
    <row r="238" spans="2:29" customFormat="1" x14ac:dyDescent="0.25">
      <c r="B238" s="266"/>
      <c r="D238" s="100"/>
      <c r="E238" s="100"/>
      <c r="F238" s="100"/>
      <c r="X238" s="154"/>
      <c r="Y238" s="165"/>
      <c r="Z238" s="6"/>
      <c r="AA238" s="6"/>
      <c r="AB238" s="6"/>
      <c r="AC238" s="6"/>
    </row>
    <row r="239" spans="2:29" customFormat="1" x14ac:dyDescent="0.25">
      <c r="B239" s="266"/>
      <c r="D239" s="100"/>
      <c r="E239" s="100"/>
      <c r="F239" s="100"/>
      <c r="X239" s="154"/>
      <c r="Y239" s="165"/>
      <c r="Z239" s="6"/>
      <c r="AA239" s="6"/>
      <c r="AB239" s="6"/>
      <c r="AC239" s="6"/>
    </row>
    <row r="240" spans="2:29" customFormat="1" x14ac:dyDescent="0.25">
      <c r="B240" s="266"/>
      <c r="D240" s="100"/>
      <c r="E240" s="100"/>
      <c r="F240" s="100"/>
      <c r="X240" s="154"/>
      <c r="Y240" s="165"/>
      <c r="Z240" s="6"/>
      <c r="AA240" s="6"/>
      <c r="AB240" s="6"/>
      <c r="AC240" s="6"/>
    </row>
    <row r="241" spans="2:29" customFormat="1" x14ac:dyDescent="0.25">
      <c r="B241" s="266"/>
      <c r="D241" s="100"/>
      <c r="E241" s="100"/>
      <c r="F241" s="100"/>
      <c r="X241" s="154"/>
      <c r="Y241" s="165"/>
      <c r="Z241" s="6"/>
      <c r="AA241" s="6"/>
      <c r="AB241" s="6"/>
      <c r="AC241" s="6"/>
    </row>
    <row r="242" spans="2:29" customFormat="1" x14ac:dyDescent="0.25">
      <c r="B242" s="266"/>
      <c r="D242" s="100"/>
      <c r="E242" s="100"/>
      <c r="F242" s="100"/>
      <c r="X242" s="154"/>
      <c r="Y242" s="165"/>
      <c r="Z242" s="6"/>
      <c r="AA242" s="6"/>
      <c r="AB242" s="6"/>
      <c r="AC242" s="6"/>
    </row>
    <row r="243" spans="2:29" customFormat="1" x14ac:dyDescent="0.25">
      <c r="B243" s="266"/>
      <c r="D243" s="100"/>
      <c r="E243" s="100"/>
      <c r="F243" s="100"/>
      <c r="X243" s="154"/>
      <c r="Y243" s="165"/>
      <c r="Z243" s="6"/>
      <c r="AA243" s="6"/>
      <c r="AB243" s="6"/>
      <c r="AC243" s="6"/>
    </row>
    <row r="244" spans="2:29" customFormat="1" x14ac:dyDescent="0.25">
      <c r="B244" s="266"/>
      <c r="D244" s="100"/>
      <c r="E244" s="100"/>
      <c r="F244" s="100"/>
      <c r="X244" s="154"/>
      <c r="Y244" s="165"/>
      <c r="Z244" s="6"/>
      <c r="AA244" s="6"/>
      <c r="AB244" s="6"/>
      <c r="AC244" s="6"/>
    </row>
    <row r="245" spans="2:29" customFormat="1" x14ac:dyDescent="0.25">
      <c r="B245" s="266"/>
      <c r="X245" s="154"/>
      <c r="Y245" s="165"/>
      <c r="Z245" s="6"/>
      <c r="AA245" s="6"/>
      <c r="AB245" s="6"/>
      <c r="AC245" s="6"/>
    </row>
    <row r="246" spans="2:29" customFormat="1" x14ac:dyDescent="0.25">
      <c r="B246" s="266"/>
      <c r="X246" s="154"/>
      <c r="Y246" s="165"/>
      <c r="Z246" s="6"/>
      <c r="AA246" s="6"/>
      <c r="AB246" s="6"/>
      <c r="AC246" s="6"/>
    </row>
    <row r="247" spans="2:29" customFormat="1" x14ac:dyDescent="0.25">
      <c r="B247" s="266"/>
      <c r="X247" s="154"/>
      <c r="Y247" s="165"/>
      <c r="Z247" s="6"/>
      <c r="AA247" s="6"/>
      <c r="AB247" s="6"/>
      <c r="AC247" s="6"/>
    </row>
    <row r="248" spans="2:29" customFormat="1" x14ac:dyDescent="0.25">
      <c r="B248" s="266"/>
      <c r="X248" s="154"/>
      <c r="Y248" s="165"/>
      <c r="Z248" s="6"/>
      <c r="AA248" s="6"/>
      <c r="AB248" s="6"/>
      <c r="AC248" s="6"/>
    </row>
    <row r="249" spans="2:29" customFormat="1" x14ac:dyDescent="0.25">
      <c r="B249" s="266"/>
      <c r="X249" s="154"/>
      <c r="Y249" s="165"/>
      <c r="Z249" s="6"/>
      <c r="AA249" s="6"/>
      <c r="AB249" s="6"/>
      <c r="AC249" s="6"/>
    </row>
    <row r="250" spans="2:29" customFormat="1" x14ac:dyDescent="0.25">
      <c r="B250" s="266"/>
      <c r="X250" s="154"/>
      <c r="Y250" s="165"/>
      <c r="Z250" s="6"/>
      <c r="AA250" s="6"/>
      <c r="AB250" s="6"/>
      <c r="AC250" s="6"/>
    </row>
    <row r="251" spans="2:29" customFormat="1" x14ac:dyDescent="0.25">
      <c r="B251" s="266"/>
      <c r="X251" s="154"/>
      <c r="Y251" s="165"/>
      <c r="Z251" s="6"/>
      <c r="AA251" s="6"/>
      <c r="AB251" s="6"/>
      <c r="AC251" s="6"/>
    </row>
    <row r="252" spans="2:29" customFormat="1" x14ac:dyDescent="0.25">
      <c r="B252" s="266"/>
      <c r="X252" s="154"/>
      <c r="Y252" s="165"/>
      <c r="Z252" s="6"/>
      <c r="AA252" s="6"/>
      <c r="AB252" s="6"/>
      <c r="AC252" s="6"/>
    </row>
    <row r="253" spans="2:29" customFormat="1" x14ac:dyDescent="0.25">
      <c r="B253" s="266"/>
      <c r="X253" s="154"/>
      <c r="Y253" s="165"/>
      <c r="Z253" s="6"/>
      <c r="AA253" s="6"/>
      <c r="AB253" s="6"/>
      <c r="AC253" s="6"/>
    </row>
    <row r="254" spans="2:29" customFormat="1" x14ac:dyDescent="0.25">
      <c r="B254" s="266"/>
      <c r="X254" s="154"/>
      <c r="Y254" s="165"/>
      <c r="Z254" s="6"/>
      <c r="AA254" s="6"/>
      <c r="AB254" s="6"/>
      <c r="AC254" s="6"/>
    </row>
    <row r="255" spans="2:29" customFormat="1" x14ac:dyDescent="0.25">
      <c r="B255" s="266"/>
      <c r="X255" s="154"/>
      <c r="Y255" s="165"/>
      <c r="Z255" s="6"/>
      <c r="AA255" s="6"/>
      <c r="AB255" s="6"/>
      <c r="AC255" s="6"/>
    </row>
    <row r="256" spans="2:29" customFormat="1" x14ac:dyDescent="0.25">
      <c r="B256" s="266"/>
      <c r="X256" s="154"/>
      <c r="Y256" s="165"/>
      <c r="Z256" s="6"/>
      <c r="AA256" s="6"/>
      <c r="AB256" s="6"/>
      <c r="AC256" s="6"/>
    </row>
    <row r="257" spans="2:29" customFormat="1" x14ac:dyDescent="0.25">
      <c r="B257" s="266"/>
      <c r="X257" s="154"/>
      <c r="Y257" s="165"/>
      <c r="Z257" s="6"/>
      <c r="AA257" s="6"/>
      <c r="AB257" s="6"/>
      <c r="AC257" s="6"/>
    </row>
    <row r="258" spans="2:29" customFormat="1" x14ac:dyDescent="0.25">
      <c r="B258" s="266"/>
      <c r="X258" s="154"/>
      <c r="Y258" s="165"/>
      <c r="Z258" s="6"/>
      <c r="AA258" s="6"/>
      <c r="AB258" s="6"/>
      <c r="AC258" s="6"/>
    </row>
    <row r="259" spans="2:29" customFormat="1" x14ac:dyDescent="0.25">
      <c r="B259" s="266"/>
      <c r="X259" s="154"/>
      <c r="Y259" s="165"/>
      <c r="Z259" s="6"/>
      <c r="AA259" s="6"/>
      <c r="AB259" s="6"/>
      <c r="AC259" s="6"/>
    </row>
    <row r="260" spans="2:29" customFormat="1" x14ac:dyDescent="0.25">
      <c r="B260" s="266"/>
      <c r="X260" s="154"/>
      <c r="Y260" s="165"/>
      <c r="Z260" s="6"/>
      <c r="AA260" s="6"/>
      <c r="AB260" s="6"/>
      <c r="AC260" s="6"/>
    </row>
    <row r="261" spans="2:29" customFormat="1" x14ac:dyDescent="0.25">
      <c r="B261" s="266"/>
      <c r="X261" s="154"/>
      <c r="Y261" s="165"/>
      <c r="Z261" s="6"/>
      <c r="AA261" s="6"/>
      <c r="AB261" s="6"/>
      <c r="AC261" s="6"/>
    </row>
    <row r="262" spans="2:29" customFormat="1" x14ac:dyDescent="0.25">
      <c r="B262" s="266"/>
      <c r="X262" s="154"/>
      <c r="Y262" s="165"/>
      <c r="Z262" s="6"/>
      <c r="AA262" s="6"/>
      <c r="AB262" s="6"/>
      <c r="AC262" s="6"/>
    </row>
    <row r="263" spans="2:29" customFormat="1" x14ac:dyDescent="0.25">
      <c r="B263" s="266"/>
      <c r="X263" s="154"/>
      <c r="Y263" s="165"/>
      <c r="Z263" s="6"/>
      <c r="AA263" s="6"/>
      <c r="AB263" s="6"/>
      <c r="AC263" s="6"/>
    </row>
    <row r="264" spans="2:29" customFormat="1" x14ac:dyDescent="0.25">
      <c r="B264" s="266"/>
      <c r="X264" s="154"/>
      <c r="Y264" s="165"/>
      <c r="Z264" s="6"/>
      <c r="AA264" s="6"/>
      <c r="AB264" s="6"/>
      <c r="AC264" s="6"/>
    </row>
    <row r="265" spans="2:29" customFormat="1" x14ac:dyDescent="0.25">
      <c r="B265" s="266"/>
      <c r="X265" s="154"/>
      <c r="Y265" s="165"/>
      <c r="Z265" s="6"/>
      <c r="AA265" s="6"/>
      <c r="AB265" s="6"/>
      <c r="AC265" s="6"/>
    </row>
    <row r="266" spans="2:29" customFormat="1" x14ac:dyDescent="0.25">
      <c r="B266" s="266"/>
      <c r="X266" s="154"/>
      <c r="Y266" s="165"/>
      <c r="Z266" s="6"/>
      <c r="AA266" s="6"/>
      <c r="AB266" s="6"/>
      <c r="AC266" s="6"/>
    </row>
    <row r="267" spans="2:29" customFormat="1" x14ac:dyDescent="0.25">
      <c r="B267" s="266"/>
      <c r="X267" s="154"/>
      <c r="Y267" s="165"/>
      <c r="Z267" s="6"/>
      <c r="AA267" s="6"/>
      <c r="AB267" s="6"/>
      <c r="AC267" s="6"/>
    </row>
    <row r="268" spans="2:29" customFormat="1" x14ac:dyDescent="0.25">
      <c r="B268" s="266"/>
      <c r="X268" s="154"/>
      <c r="Y268" s="165"/>
      <c r="Z268" s="6"/>
      <c r="AA268" s="6"/>
      <c r="AB268" s="6"/>
      <c r="AC268" s="6"/>
    </row>
    <row r="269" spans="2:29" customFormat="1" x14ac:dyDescent="0.25">
      <c r="B269" s="266"/>
      <c r="X269" s="154"/>
      <c r="Y269" s="165"/>
      <c r="Z269" s="6"/>
      <c r="AA269" s="6"/>
      <c r="AB269" s="6"/>
      <c r="AC269" s="6"/>
    </row>
    <row r="270" spans="2:29" customFormat="1" x14ac:dyDescent="0.25">
      <c r="B270" s="266"/>
      <c r="X270" s="154"/>
      <c r="Y270" s="165"/>
      <c r="Z270" s="6"/>
      <c r="AA270" s="6"/>
      <c r="AB270" s="6"/>
      <c r="AC270" s="6"/>
    </row>
    <row r="271" spans="2:29" customFormat="1" x14ac:dyDescent="0.25">
      <c r="B271" s="266"/>
      <c r="X271" s="154"/>
      <c r="Y271" s="165"/>
      <c r="Z271" s="6"/>
      <c r="AA271" s="6"/>
      <c r="AB271" s="6"/>
      <c r="AC271" s="6"/>
    </row>
    <row r="272" spans="2:29" customFormat="1" x14ac:dyDescent="0.25">
      <c r="B272" s="266"/>
      <c r="X272" s="154"/>
      <c r="Y272" s="165"/>
      <c r="Z272" s="6"/>
      <c r="AA272" s="6"/>
      <c r="AB272" s="6"/>
      <c r="AC272" s="6"/>
    </row>
    <row r="273" spans="2:29" customFormat="1" x14ac:dyDescent="0.25">
      <c r="B273" s="266"/>
      <c r="X273" s="154"/>
      <c r="Y273" s="165"/>
      <c r="Z273" s="6"/>
      <c r="AA273" s="6"/>
      <c r="AB273" s="6"/>
      <c r="AC273" s="6"/>
    </row>
    <row r="274" spans="2:29" customFormat="1" x14ac:dyDescent="0.25">
      <c r="B274" s="266"/>
      <c r="X274" s="154"/>
      <c r="Y274" s="165"/>
      <c r="Z274" s="6"/>
      <c r="AA274" s="6"/>
      <c r="AB274" s="6"/>
      <c r="AC274" s="6"/>
    </row>
    <row r="275" spans="2:29" customFormat="1" x14ac:dyDescent="0.25">
      <c r="B275" s="266"/>
      <c r="X275" s="154"/>
      <c r="Y275" s="165"/>
      <c r="Z275" s="6"/>
      <c r="AA275" s="6"/>
      <c r="AB275" s="6"/>
      <c r="AC275" s="6"/>
    </row>
    <row r="276" spans="2:29" customFormat="1" x14ac:dyDescent="0.25">
      <c r="B276" s="266"/>
      <c r="X276" s="154"/>
      <c r="Y276" s="165"/>
      <c r="Z276" s="6"/>
      <c r="AA276" s="6"/>
      <c r="AB276" s="6"/>
      <c r="AC276" s="6"/>
    </row>
    <row r="277" spans="2:29" customFormat="1" x14ac:dyDescent="0.25">
      <c r="B277" s="266"/>
      <c r="X277" s="154"/>
      <c r="Y277" s="165"/>
      <c r="Z277" s="6"/>
      <c r="AA277" s="6"/>
      <c r="AB277" s="6"/>
      <c r="AC277" s="6"/>
    </row>
    <row r="278" spans="2:29" customFormat="1" x14ac:dyDescent="0.25">
      <c r="B278" s="266"/>
      <c r="X278" s="154"/>
      <c r="Y278" s="165"/>
      <c r="Z278" s="6"/>
      <c r="AA278" s="6"/>
      <c r="AB278" s="6"/>
      <c r="AC278" s="6"/>
    </row>
    <row r="279" spans="2:29" customFormat="1" x14ac:dyDescent="0.25">
      <c r="B279" s="266"/>
      <c r="X279" s="154"/>
      <c r="Y279" s="165"/>
      <c r="Z279" s="6"/>
      <c r="AA279" s="6"/>
      <c r="AB279" s="6"/>
      <c r="AC279" s="6"/>
    </row>
    <row r="280" spans="2:29" customFormat="1" x14ac:dyDescent="0.25">
      <c r="B280" s="266"/>
      <c r="X280" s="154"/>
      <c r="Y280" s="165"/>
      <c r="Z280" s="6"/>
      <c r="AA280" s="6"/>
      <c r="AB280" s="6"/>
      <c r="AC280" s="6"/>
    </row>
    <row r="281" spans="2:29" customFormat="1" x14ac:dyDescent="0.25">
      <c r="B281" s="266"/>
      <c r="X281" s="154"/>
      <c r="Y281" s="165"/>
      <c r="Z281" s="6"/>
      <c r="AA281" s="6"/>
      <c r="AB281" s="6"/>
      <c r="AC281" s="6"/>
    </row>
    <row r="282" spans="2:29" customFormat="1" x14ac:dyDescent="0.25">
      <c r="B282" s="266"/>
      <c r="X282" s="154"/>
      <c r="Y282" s="165"/>
      <c r="Z282" s="6"/>
      <c r="AA282" s="6"/>
      <c r="AB282" s="6"/>
      <c r="AC282" s="6"/>
    </row>
    <row r="283" spans="2:29" customFormat="1" x14ac:dyDescent="0.25">
      <c r="B283" s="266"/>
      <c r="X283" s="154"/>
      <c r="Y283" s="165"/>
      <c r="Z283" s="6"/>
      <c r="AA283" s="6"/>
      <c r="AB283" s="6"/>
      <c r="AC283" s="6"/>
    </row>
    <row r="284" spans="2:29" customFormat="1" x14ac:dyDescent="0.25">
      <c r="B284" s="266"/>
      <c r="X284" s="154"/>
      <c r="Y284" s="165"/>
      <c r="Z284" s="6"/>
      <c r="AA284" s="6"/>
      <c r="AB284" s="6"/>
      <c r="AC284" s="6"/>
    </row>
    <row r="285" spans="2:29" customFormat="1" x14ac:dyDescent="0.25">
      <c r="B285" s="266"/>
      <c r="X285" s="154"/>
      <c r="Y285" s="165"/>
      <c r="Z285" s="6"/>
      <c r="AA285" s="6"/>
      <c r="AB285" s="6"/>
      <c r="AC285" s="6"/>
    </row>
    <row r="286" spans="2:29" customFormat="1" x14ac:dyDescent="0.25">
      <c r="B286" s="266"/>
      <c r="X286" s="154"/>
      <c r="Y286" s="165"/>
      <c r="Z286" s="6"/>
      <c r="AA286" s="6"/>
      <c r="AB286" s="6"/>
      <c r="AC286" s="6"/>
    </row>
    <row r="287" spans="2:29" customFormat="1" x14ac:dyDescent="0.25">
      <c r="B287" s="266"/>
      <c r="X287" s="154"/>
      <c r="Y287" s="165"/>
      <c r="Z287" s="6"/>
      <c r="AA287" s="6"/>
      <c r="AB287" s="6"/>
      <c r="AC287" s="6"/>
    </row>
    <row r="288" spans="2:29" customFormat="1" x14ac:dyDescent="0.25">
      <c r="B288" s="266"/>
      <c r="X288" s="154"/>
      <c r="Y288" s="165"/>
      <c r="Z288" s="6"/>
      <c r="AA288" s="6"/>
      <c r="AB288" s="6"/>
      <c r="AC288" s="6"/>
    </row>
    <row r="289" spans="2:29" customFormat="1" x14ac:dyDescent="0.25">
      <c r="B289" s="266"/>
      <c r="X289" s="154"/>
      <c r="Y289" s="165"/>
      <c r="Z289" s="6"/>
      <c r="AA289" s="6"/>
      <c r="AB289" s="6"/>
      <c r="AC289" s="6"/>
    </row>
    <row r="290" spans="2:29" customFormat="1" x14ac:dyDescent="0.25">
      <c r="B290" s="266"/>
      <c r="X290" s="154"/>
      <c r="Y290" s="165"/>
      <c r="Z290" s="6"/>
      <c r="AA290" s="6"/>
      <c r="AB290" s="6"/>
      <c r="AC290" s="6"/>
    </row>
    <row r="291" spans="2:29" customFormat="1" x14ac:dyDescent="0.25">
      <c r="B291" s="266"/>
      <c r="X291" s="154"/>
      <c r="Y291" s="165"/>
      <c r="Z291" s="6"/>
      <c r="AA291" s="6"/>
      <c r="AB291" s="6"/>
      <c r="AC291" s="6"/>
    </row>
    <row r="292" spans="2:29" customFormat="1" x14ac:dyDescent="0.25">
      <c r="B292" s="266"/>
      <c r="X292" s="154"/>
      <c r="Y292" s="165"/>
      <c r="Z292" s="6"/>
      <c r="AA292" s="6"/>
      <c r="AB292" s="6"/>
      <c r="AC292" s="6"/>
    </row>
    <row r="293" spans="2:29" customFormat="1" x14ac:dyDescent="0.25">
      <c r="B293" s="266"/>
      <c r="X293" s="154"/>
      <c r="Y293" s="165"/>
      <c r="Z293" s="6"/>
      <c r="AA293" s="6"/>
      <c r="AB293" s="6"/>
      <c r="AC293" s="6"/>
    </row>
    <row r="294" spans="2:29" customFormat="1" x14ac:dyDescent="0.25">
      <c r="B294" s="266"/>
      <c r="X294" s="154"/>
      <c r="Y294" s="165"/>
      <c r="Z294" s="6"/>
      <c r="AA294" s="6"/>
      <c r="AB294" s="6"/>
      <c r="AC294" s="6"/>
    </row>
    <row r="295" spans="2:29" customFormat="1" x14ac:dyDescent="0.25">
      <c r="B295" s="266"/>
      <c r="X295" s="154"/>
      <c r="Y295" s="165"/>
      <c r="Z295" s="6"/>
      <c r="AA295" s="6"/>
      <c r="AB295" s="6"/>
      <c r="AC295" s="6"/>
    </row>
    <row r="296" spans="2:29" customFormat="1" x14ac:dyDescent="0.25">
      <c r="B296" s="266"/>
      <c r="X296" s="154"/>
      <c r="Y296" s="165"/>
      <c r="Z296" s="6"/>
      <c r="AA296" s="6"/>
      <c r="AB296" s="6"/>
      <c r="AC296" s="6"/>
    </row>
    <row r="297" spans="2:29" customFormat="1" x14ac:dyDescent="0.25">
      <c r="B297" s="266"/>
      <c r="X297" s="154"/>
      <c r="Y297" s="165"/>
      <c r="Z297" s="6"/>
      <c r="AA297" s="6"/>
      <c r="AB297" s="6"/>
      <c r="AC297" s="6"/>
    </row>
    <row r="298" spans="2:29" customFormat="1" x14ac:dyDescent="0.25">
      <c r="B298" s="266"/>
      <c r="X298" s="154"/>
      <c r="Y298" s="165"/>
      <c r="Z298" s="6"/>
      <c r="AA298" s="6"/>
      <c r="AB298" s="6"/>
      <c r="AC298" s="6"/>
    </row>
    <row r="299" spans="2:29" customFormat="1" x14ac:dyDescent="0.25">
      <c r="B299" s="266"/>
      <c r="X299" s="154"/>
      <c r="Y299" s="165"/>
      <c r="Z299" s="6"/>
      <c r="AA299" s="6"/>
      <c r="AB299" s="6"/>
      <c r="AC299" s="6"/>
    </row>
    <row r="300" spans="2:29" customFormat="1" x14ac:dyDescent="0.25">
      <c r="B300" s="266"/>
      <c r="X300" s="154"/>
      <c r="Y300" s="165"/>
      <c r="Z300" s="6"/>
      <c r="AA300" s="6"/>
      <c r="AB300" s="6"/>
      <c r="AC300" s="6"/>
    </row>
    <row r="301" spans="2:29" customFormat="1" x14ac:dyDescent="0.25">
      <c r="B301" s="266"/>
      <c r="X301" s="154"/>
      <c r="Y301" s="165"/>
      <c r="Z301" s="6"/>
      <c r="AA301" s="6"/>
      <c r="AB301" s="6"/>
      <c r="AC301" s="6"/>
    </row>
    <row r="302" spans="2:29" customFormat="1" x14ac:dyDescent="0.25">
      <c r="B302" s="266"/>
      <c r="X302" s="154"/>
      <c r="Y302" s="165"/>
      <c r="Z302" s="6"/>
      <c r="AA302" s="6"/>
      <c r="AB302" s="6"/>
      <c r="AC302" s="6"/>
    </row>
    <row r="303" spans="2:29" customFormat="1" x14ac:dyDescent="0.25">
      <c r="B303" s="266"/>
      <c r="X303" s="154"/>
      <c r="Y303" s="165"/>
      <c r="Z303" s="6"/>
      <c r="AA303" s="6"/>
      <c r="AB303" s="6"/>
      <c r="AC303" s="6"/>
    </row>
    <row r="304" spans="2:29" customFormat="1" x14ac:dyDescent="0.25">
      <c r="B304" s="266"/>
      <c r="X304" s="154"/>
      <c r="Y304" s="165"/>
      <c r="Z304" s="6"/>
      <c r="AA304" s="6"/>
      <c r="AB304" s="6"/>
      <c r="AC304" s="6"/>
    </row>
    <row r="305" spans="2:29" customFormat="1" x14ac:dyDescent="0.25">
      <c r="B305" s="266"/>
      <c r="X305" s="154"/>
      <c r="Y305" s="165"/>
      <c r="Z305" s="6"/>
      <c r="AA305" s="6"/>
      <c r="AB305" s="6"/>
      <c r="AC305" s="6"/>
    </row>
    <row r="306" spans="2:29" customFormat="1" x14ac:dyDescent="0.25">
      <c r="B306" s="266"/>
      <c r="X306" s="154"/>
      <c r="Y306" s="165"/>
      <c r="Z306" s="6"/>
      <c r="AA306" s="6"/>
      <c r="AB306" s="6"/>
      <c r="AC306" s="6"/>
    </row>
    <row r="307" spans="2:29" customFormat="1" x14ac:dyDescent="0.25">
      <c r="B307" s="266"/>
      <c r="X307" s="154"/>
      <c r="Y307" s="165"/>
      <c r="Z307" s="6"/>
      <c r="AA307" s="6"/>
      <c r="AB307" s="6"/>
      <c r="AC307" s="6"/>
    </row>
    <row r="308" spans="2:29" customFormat="1" x14ac:dyDescent="0.25">
      <c r="B308" s="266"/>
      <c r="X308" s="154"/>
      <c r="Y308" s="165"/>
      <c r="Z308" s="6"/>
      <c r="AA308" s="6"/>
      <c r="AB308" s="6"/>
      <c r="AC308" s="6"/>
    </row>
    <row r="309" spans="2:29" customFormat="1" x14ac:dyDescent="0.25">
      <c r="B309" s="266"/>
      <c r="X309" s="154"/>
      <c r="Y309" s="165"/>
      <c r="Z309" s="6"/>
      <c r="AA309" s="6"/>
      <c r="AB309" s="6"/>
      <c r="AC309" s="6"/>
    </row>
    <row r="310" spans="2:29" customFormat="1" x14ac:dyDescent="0.25">
      <c r="B310" s="266"/>
      <c r="X310" s="154"/>
      <c r="Y310" s="165"/>
      <c r="Z310" s="6"/>
      <c r="AA310" s="6"/>
      <c r="AB310" s="6"/>
      <c r="AC310" s="6"/>
    </row>
    <row r="311" spans="2:29" customFormat="1" x14ac:dyDescent="0.25">
      <c r="B311" s="266"/>
      <c r="X311" s="154"/>
      <c r="Y311" s="165"/>
      <c r="Z311" s="6"/>
      <c r="AA311" s="6"/>
      <c r="AB311" s="6"/>
      <c r="AC311" s="6"/>
    </row>
    <row r="312" spans="2:29" customFormat="1" x14ac:dyDescent="0.25">
      <c r="B312" s="266"/>
      <c r="X312" s="154"/>
      <c r="Y312" s="165"/>
      <c r="Z312" s="6"/>
      <c r="AA312" s="6"/>
      <c r="AB312" s="6"/>
      <c r="AC312" s="6"/>
    </row>
    <row r="313" spans="2:29" customFormat="1" x14ac:dyDescent="0.25">
      <c r="B313" s="266"/>
      <c r="X313" s="154"/>
      <c r="Y313" s="165"/>
      <c r="Z313" s="6"/>
      <c r="AA313" s="6"/>
      <c r="AB313" s="6"/>
      <c r="AC313" s="6"/>
    </row>
    <row r="314" spans="2:29" customFormat="1" x14ac:dyDescent="0.25">
      <c r="B314" s="266"/>
      <c r="X314" s="154"/>
      <c r="Y314" s="165"/>
      <c r="Z314" s="6"/>
      <c r="AA314" s="6"/>
      <c r="AB314" s="6"/>
      <c r="AC314" s="6"/>
    </row>
    <row r="315" spans="2:29" customFormat="1" x14ac:dyDescent="0.25">
      <c r="B315" s="266"/>
      <c r="X315" s="154"/>
      <c r="Y315" s="165"/>
      <c r="Z315" s="6"/>
      <c r="AA315" s="6"/>
      <c r="AB315" s="6"/>
      <c r="AC315" s="6"/>
    </row>
    <row r="316" spans="2:29" customFormat="1" x14ac:dyDescent="0.25">
      <c r="B316" s="266"/>
      <c r="X316" s="154"/>
      <c r="Y316" s="165"/>
      <c r="Z316" s="6"/>
      <c r="AA316" s="6"/>
      <c r="AB316" s="6"/>
      <c r="AC316" s="6"/>
    </row>
    <row r="317" spans="2:29" customFormat="1" x14ac:dyDescent="0.25">
      <c r="B317" s="266"/>
      <c r="X317" s="154"/>
      <c r="Y317" s="165"/>
      <c r="Z317" s="6"/>
      <c r="AA317" s="6"/>
      <c r="AB317" s="6"/>
      <c r="AC317" s="6"/>
    </row>
    <row r="318" spans="2:29" customFormat="1" x14ac:dyDescent="0.25">
      <c r="B318" s="266"/>
      <c r="X318" s="154"/>
      <c r="Y318" s="165"/>
      <c r="Z318" s="6"/>
      <c r="AA318" s="6"/>
      <c r="AB318" s="6"/>
      <c r="AC318" s="6"/>
    </row>
    <row r="319" spans="2:29" customFormat="1" x14ac:dyDescent="0.25">
      <c r="B319" s="266"/>
      <c r="X319" s="154"/>
      <c r="Y319" s="165"/>
      <c r="Z319" s="6"/>
      <c r="AA319" s="6"/>
      <c r="AB319" s="6"/>
      <c r="AC319" s="6"/>
    </row>
    <row r="320" spans="2:29" customFormat="1" x14ac:dyDescent="0.25">
      <c r="B320" s="266"/>
      <c r="X320" s="154"/>
      <c r="Y320" s="165"/>
      <c r="Z320" s="6"/>
      <c r="AA320" s="6"/>
      <c r="AB320" s="6"/>
      <c r="AC320" s="6"/>
    </row>
    <row r="321" spans="2:29" customFormat="1" x14ac:dyDescent="0.25">
      <c r="B321" s="266"/>
      <c r="X321" s="154"/>
      <c r="Y321" s="165"/>
      <c r="Z321" s="6"/>
      <c r="AA321" s="6"/>
      <c r="AB321" s="6"/>
      <c r="AC321" s="6"/>
    </row>
    <row r="322" spans="2:29" customFormat="1" x14ac:dyDescent="0.25">
      <c r="B322" s="266"/>
      <c r="X322" s="154"/>
      <c r="Y322" s="165"/>
      <c r="Z322" s="6"/>
      <c r="AA322" s="6"/>
      <c r="AB322" s="6"/>
      <c r="AC322" s="6"/>
    </row>
    <row r="323" spans="2:29" customFormat="1" x14ac:dyDescent="0.25">
      <c r="B323" s="266"/>
      <c r="X323" s="154"/>
      <c r="Y323" s="165"/>
      <c r="Z323" s="6"/>
      <c r="AA323" s="6"/>
      <c r="AB323" s="6"/>
      <c r="AC323" s="6"/>
    </row>
    <row r="324" spans="2:29" customFormat="1" x14ac:dyDescent="0.25">
      <c r="B324" s="266"/>
      <c r="X324" s="154"/>
      <c r="Y324" s="165"/>
      <c r="Z324" s="6"/>
      <c r="AA324" s="6"/>
      <c r="AB324" s="6"/>
      <c r="AC324" s="6"/>
    </row>
    <row r="325" spans="2:29" customFormat="1" x14ac:dyDescent="0.25">
      <c r="B325" s="266"/>
      <c r="X325" s="154"/>
      <c r="Y325" s="165"/>
      <c r="Z325" s="6"/>
      <c r="AA325" s="6"/>
      <c r="AB325" s="6"/>
      <c r="AC325" s="6"/>
    </row>
    <row r="326" spans="2:29" customFormat="1" x14ac:dyDescent="0.25">
      <c r="B326" s="266"/>
      <c r="X326" s="154"/>
      <c r="Y326" s="165"/>
      <c r="Z326" s="6"/>
      <c r="AA326" s="6"/>
      <c r="AB326" s="6"/>
      <c r="AC326" s="6"/>
    </row>
    <row r="327" spans="2:29" customFormat="1" x14ac:dyDescent="0.25">
      <c r="B327" s="266"/>
      <c r="X327" s="154"/>
      <c r="Y327" s="165"/>
      <c r="Z327" s="6"/>
      <c r="AA327" s="6"/>
      <c r="AB327" s="6"/>
      <c r="AC327" s="6"/>
    </row>
    <row r="328" spans="2:29" customFormat="1" x14ac:dyDescent="0.25">
      <c r="B328" s="266"/>
      <c r="X328" s="154"/>
      <c r="Y328" s="165"/>
      <c r="Z328" s="6"/>
      <c r="AA328" s="6"/>
      <c r="AB328" s="6"/>
      <c r="AC328" s="6"/>
    </row>
    <row r="329" spans="2:29" customFormat="1" x14ac:dyDescent="0.25">
      <c r="B329" s="266"/>
      <c r="X329" s="154"/>
      <c r="Y329" s="165"/>
      <c r="Z329" s="6"/>
      <c r="AA329" s="6"/>
      <c r="AB329" s="6"/>
      <c r="AC329" s="6"/>
    </row>
    <row r="330" spans="2:29" customFormat="1" x14ac:dyDescent="0.25">
      <c r="B330" s="266"/>
      <c r="X330" s="154"/>
      <c r="Y330" s="165"/>
      <c r="Z330" s="6"/>
      <c r="AA330" s="6"/>
      <c r="AB330" s="6"/>
      <c r="AC330" s="6"/>
    </row>
    <row r="331" spans="2:29" customFormat="1" x14ac:dyDescent="0.25">
      <c r="B331" s="266"/>
      <c r="X331" s="154"/>
      <c r="Y331" s="165"/>
      <c r="Z331" s="6"/>
      <c r="AA331" s="6"/>
      <c r="AB331" s="6"/>
      <c r="AC331" s="6"/>
    </row>
    <row r="332" spans="2:29" customFormat="1" x14ac:dyDescent="0.25">
      <c r="B332" s="266"/>
      <c r="X332" s="154"/>
      <c r="Y332" s="165"/>
      <c r="Z332" s="6"/>
      <c r="AA332" s="6"/>
      <c r="AB332" s="6"/>
      <c r="AC332" s="6"/>
    </row>
    <row r="333" spans="2:29" customFormat="1" x14ac:dyDescent="0.25">
      <c r="B333" s="266"/>
      <c r="X333" s="154"/>
      <c r="Y333" s="165"/>
      <c r="Z333" s="6"/>
      <c r="AA333" s="6"/>
      <c r="AB333" s="6"/>
      <c r="AC333" s="6"/>
    </row>
    <row r="334" spans="2:29" customFormat="1" x14ac:dyDescent="0.25">
      <c r="B334" s="266"/>
      <c r="X334" s="154"/>
      <c r="Y334" s="165"/>
      <c r="Z334" s="6"/>
      <c r="AA334" s="6"/>
      <c r="AB334" s="6"/>
      <c r="AC334" s="6"/>
    </row>
    <row r="335" spans="2:29" customFormat="1" x14ac:dyDescent="0.25">
      <c r="B335" s="266"/>
      <c r="X335" s="154"/>
      <c r="Y335" s="165"/>
      <c r="Z335" s="6"/>
      <c r="AA335" s="6"/>
      <c r="AB335" s="6"/>
      <c r="AC335" s="6"/>
    </row>
    <row r="336" spans="2:29" customFormat="1" x14ac:dyDescent="0.25">
      <c r="B336" s="266"/>
      <c r="X336" s="154"/>
      <c r="Y336" s="165"/>
      <c r="Z336" s="6"/>
      <c r="AA336" s="6"/>
      <c r="AB336" s="6"/>
      <c r="AC336" s="6"/>
    </row>
    <row r="337" spans="2:29" customFormat="1" x14ac:dyDescent="0.25">
      <c r="B337" s="266"/>
      <c r="X337" s="154"/>
      <c r="Y337" s="165"/>
      <c r="Z337" s="6"/>
      <c r="AA337" s="6"/>
      <c r="AB337" s="6"/>
      <c r="AC337" s="6"/>
    </row>
    <row r="338" spans="2:29" customFormat="1" x14ac:dyDescent="0.25">
      <c r="B338" s="266"/>
      <c r="X338" s="154"/>
      <c r="Y338" s="165"/>
      <c r="Z338" s="6"/>
      <c r="AA338" s="6"/>
      <c r="AB338" s="6"/>
      <c r="AC338" s="6"/>
    </row>
    <row r="339" spans="2:29" customFormat="1" x14ac:dyDescent="0.25">
      <c r="B339" s="266"/>
      <c r="X339" s="154"/>
      <c r="Y339" s="165"/>
      <c r="Z339" s="6"/>
      <c r="AA339" s="6"/>
      <c r="AB339" s="6"/>
      <c r="AC339" s="6"/>
    </row>
    <row r="340" spans="2:29" customFormat="1" x14ac:dyDescent="0.25">
      <c r="B340" s="266"/>
      <c r="X340" s="154"/>
      <c r="Y340" s="165"/>
      <c r="Z340" s="6"/>
      <c r="AA340" s="6"/>
      <c r="AB340" s="6"/>
      <c r="AC340" s="6"/>
    </row>
    <row r="341" spans="2:29" customFormat="1" x14ac:dyDescent="0.25">
      <c r="B341" s="266"/>
      <c r="X341" s="154"/>
      <c r="Y341" s="165"/>
      <c r="Z341" s="6"/>
      <c r="AA341" s="6"/>
      <c r="AB341" s="6"/>
      <c r="AC341" s="6"/>
    </row>
    <row r="342" spans="2:29" customFormat="1" x14ac:dyDescent="0.25">
      <c r="B342" s="266"/>
      <c r="X342" s="154"/>
      <c r="Y342" s="165"/>
      <c r="Z342" s="6"/>
      <c r="AA342" s="6"/>
      <c r="AB342" s="6"/>
      <c r="AC342" s="6"/>
    </row>
    <row r="343" spans="2:29" customFormat="1" x14ac:dyDescent="0.25">
      <c r="B343" s="266"/>
      <c r="X343" s="154"/>
      <c r="Y343" s="165"/>
      <c r="Z343" s="6"/>
      <c r="AA343" s="6"/>
      <c r="AB343" s="6"/>
      <c r="AC343" s="6"/>
    </row>
    <row r="344" spans="2:29" customFormat="1" x14ac:dyDescent="0.25">
      <c r="B344" s="266"/>
      <c r="X344" s="154"/>
      <c r="Y344" s="165"/>
      <c r="Z344" s="6"/>
      <c r="AA344" s="6"/>
      <c r="AB344" s="6"/>
      <c r="AC344" s="6"/>
    </row>
    <row r="345" spans="2:29" customFormat="1" x14ac:dyDescent="0.25">
      <c r="B345" s="266"/>
      <c r="X345" s="154"/>
      <c r="Y345" s="165"/>
      <c r="Z345" s="6"/>
      <c r="AA345" s="6"/>
      <c r="AB345" s="6"/>
      <c r="AC345" s="6"/>
    </row>
    <row r="346" spans="2:29" customFormat="1" x14ac:dyDescent="0.25">
      <c r="B346" s="266"/>
      <c r="X346" s="154"/>
      <c r="Y346" s="165"/>
      <c r="Z346" s="6"/>
      <c r="AA346" s="6"/>
      <c r="AB346" s="6"/>
      <c r="AC346" s="6"/>
    </row>
    <row r="347" spans="2:29" customFormat="1" x14ac:dyDescent="0.25">
      <c r="B347" s="266"/>
      <c r="X347" s="154"/>
      <c r="Y347" s="165"/>
      <c r="Z347" s="6"/>
      <c r="AA347" s="6"/>
      <c r="AB347" s="6"/>
      <c r="AC347" s="6"/>
    </row>
    <row r="348" spans="2:29" customFormat="1" x14ac:dyDescent="0.25">
      <c r="B348" s="266"/>
      <c r="X348" s="154"/>
      <c r="Y348" s="165"/>
      <c r="Z348" s="6"/>
      <c r="AA348" s="6"/>
      <c r="AB348" s="6"/>
      <c r="AC348" s="6"/>
    </row>
    <row r="349" spans="2:29" customFormat="1" x14ac:dyDescent="0.25">
      <c r="B349" s="266"/>
      <c r="X349" s="154"/>
      <c r="Y349" s="165"/>
      <c r="Z349" s="6"/>
      <c r="AA349" s="6"/>
      <c r="AB349" s="6"/>
      <c r="AC349" s="6"/>
    </row>
    <row r="350" spans="2:29" customFormat="1" x14ac:dyDescent="0.25">
      <c r="B350" s="266"/>
      <c r="X350" s="154"/>
      <c r="Y350" s="165"/>
      <c r="Z350" s="6"/>
      <c r="AA350" s="6"/>
      <c r="AB350" s="6"/>
      <c r="AC350" s="6"/>
    </row>
    <row r="351" spans="2:29" customFormat="1" x14ac:dyDescent="0.25">
      <c r="B351" s="266"/>
      <c r="X351" s="154"/>
      <c r="Y351" s="165"/>
      <c r="Z351" s="6"/>
      <c r="AA351" s="6"/>
      <c r="AB351" s="6"/>
      <c r="AC351" s="6"/>
    </row>
    <row r="352" spans="2:29" customFormat="1" x14ac:dyDescent="0.25">
      <c r="B352" s="266"/>
      <c r="X352" s="154"/>
      <c r="Y352" s="165"/>
      <c r="Z352" s="6"/>
      <c r="AA352" s="6"/>
      <c r="AB352" s="6"/>
      <c r="AC352" s="6"/>
    </row>
    <row r="353" spans="2:29" customFormat="1" x14ac:dyDescent="0.25">
      <c r="B353" s="266"/>
      <c r="X353" s="154"/>
      <c r="Y353" s="165"/>
      <c r="Z353" s="6"/>
      <c r="AA353" s="6"/>
      <c r="AB353" s="6"/>
      <c r="AC353" s="6"/>
    </row>
    <row r="354" spans="2:29" customFormat="1" x14ac:dyDescent="0.25">
      <c r="B354" s="266"/>
      <c r="X354" s="154"/>
      <c r="Y354" s="165"/>
      <c r="Z354" s="6"/>
      <c r="AA354" s="6"/>
      <c r="AB354" s="6"/>
      <c r="AC354" s="6"/>
    </row>
    <row r="355" spans="2:29" customFormat="1" x14ac:dyDescent="0.25">
      <c r="B355" s="266"/>
      <c r="X355" s="154"/>
      <c r="Y355" s="165"/>
      <c r="Z355" s="6"/>
      <c r="AA355" s="6"/>
      <c r="AB355" s="6"/>
      <c r="AC355" s="6"/>
    </row>
    <row r="356" spans="2:29" customFormat="1" x14ac:dyDescent="0.25">
      <c r="B356" s="266"/>
      <c r="X356" s="154"/>
      <c r="Y356" s="165"/>
      <c r="Z356" s="6"/>
      <c r="AA356" s="6"/>
      <c r="AB356" s="6"/>
      <c r="AC356" s="6"/>
    </row>
    <row r="357" spans="2:29" customFormat="1" x14ac:dyDescent="0.25">
      <c r="B357" s="266"/>
      <c r="X357" s="154"/>
      <c r="Y357" s="165"/>
      <c r="Z357" s="6"/>
      <c r="AA357" s="6"/>
      <c r="AB357" s="6"/>
      <c r="AC357" s="6"/>
    </row>
    <row r="358" spans="2:29" customFormat="1" x14ac:dyDescent="0.25">
      <c r="B358" s="266"/>
      <c r="X358" s="154"/>
      <c r="Y358" s="165"/>
      <c r="Z358" s="6"/>
      <c r="AA358" s="6"/>
      <c r="AB358" s="6"/>
      <c r="AC358" s="6"/>
    </row>
    <row r="359" spans="2:29" customFormat="1" x14ac:dyDescent="0.25">
      <c r="B359" s="266"/>
      <c r="X359" s="154"/>
      <c r="Y359" s="165"/>
      <c r="Z359" s="6"/>
      <c r="AA359" s="6"/>
      <c r="AB359" s="6"/>
      <c r="AC359" s="6"/>
    </row>
    <row r="360" spans="2:29" customFormat="1" x14ac:dyDescent="0.25">
      <c r="B360" s="266"/>
      <c r="X360" s="154"/>
      <c r="Y360" s="165"/>
      <c r="Z360" s="6"/>
      <c r="AA360" s="6"/>
      <c r="AB360" s="6"/>
      <c r="AC360" s="6"/>
    </row>
    <row r="361" spans="2:29" customFormat="1" x14ac:dyDescent="0.25">
      <c r="B361" s="266"/>
      <c r="X361" s="154"/>
      <c r="Y361" s="165"/>
      <c r="Z361" s="6"/>
      <c r="AA361" s="6"/>
      <c r="AB361" s="6"/>
      <c r="AC361" s="6"/>
    </row>
    <row r="362" spans="2:29" customFormat="1" x14ac:dyDescent="0.25">
      <c r="B362" s="266"/>
      <c r="X362" s="154"/>
      <c r="Y362" s="165"/>
      <c r="Z362" s="6"/>
      <c r="AA362" s="6"/>
      <c r="AB362" s="6"/>
      <c r="AC362" s="6"/>
    </row>
    <row r="363" spans="2:29" customFormat="1" x14ac:dyDescent="0.25">
      <c r="B363" s="266"/>
      <c r="X363" s="154"/>
      <c r="Y363" s="165"/>
      <c r="Z363" s="6"/>
      <c r="AA363" s="6"/>
      <c r="AB363" s="6"/>
      <c r="AC363" s="6"/>
    </row>
    <row r="364" spans="2:29" customFormat="1" x14ac:dyDescent="0.25">
      <c r="B364" s="266"/>
      <c r="X364" s="154"/>
      <c r="Y364" s="165"/>
      <c r="Z364" s="6"/>
      <c r="AA364" s="6"/>
      <c r="AB364" s="6"/>
      <c r="AC364" s="6"/>
    </row>
    <row r="365" spans="2:29" customFormat="1" x14ac:dyDescent="0.25">
      <c r="B365" s="266"/>
      <c r="X365" s="154"/>
      <c r="Y365" s="165"/>
      <c r="Z365" s="6"/>
      <c r="AA365" s="6"/>
      <c r="AB365" s="6"/>
      <c r="AC365" s="6"/>
    </row>
    <row r="366" spans="2:29" customFormat="1" x14ac:dyDescent="0.25">
      <c r="B366" s="266"/>
      <c r="X366" s="154"/>
      <c r="Y366" s="165"/>
      <c r="Z366" s="6"/>
      <c r="AA366" s="6"/>
      <c r="AB366" s="6"/>
      <c r="AC366" s="6"/>
    </row>
    <row r="367" spans="2:29" customFormat="1" x14ac:dyDescent="0.25">
      <c r="B367" s="266"/>
      <c r="X367" s="154"/>
      <c r="Y367" s="165"/>
      <c r="Z367" s="6"/>
      <c r="AA367" s="6"/>
      <c r="AB367" s="6"/>
      <c r="AC367" s="6"/>
    </row>
    <row r="368" spans="2:29" customFormat="1" x14ac:dyDescent="0.25">
      <c r="B368" s="266"/>
      <c r="X368" s="154"/>
      <c r="Y368" s="165"/>
      <c r="Z368" s="6"/>
      <c r="AA368" s="6"/>
      <c r="AB368" s="6"/>
      <c r="AC368" s="6"/>
    </row>
    <row r="369" spans="2:29" customFormat="1" x14ac:dyDescent="0.25">
      <c r="B369" s="266"/>
      <c r="X369" s="154"/>
      <c r="Y369" s="165"/>
      <c r="Z369" s="6"/>
      <c r="AA369" s="6"/>
      <c r="AB369" s="6"/>
      <c r="AC369" s="6"/>
    </row>
    <row r="370" spans="2:29" customFormat="1" x14ac:dyDescent="0.25">
      <c r="B370" s="266"/>
      <c r="X370" s="154"/>
      <c r="Y370" s="165"/>
      <c r="Z370" s="6"/>
      <c r="AA370" s="6"/>
      <c r="AB370" s="6"/>
      <c r="AC370" s="6"/>
    </row>
    <row r="371" spans="2:29" customFormat="1" x14ac:dyDescent="0.25">
      <c r="B371" s="266"/>
      <c r="X371" s="154"/>
      <c r="Y371" s="165"/>
      <c r="Z371" s="6"/>
      <c r="AA371" s="6"/>
      <c r="AB371" s="6"/>
      <c r="AC371" s="6"/>
    </row>
    <row r="372" spans="2:29" customFormat="1" x14ac:dyDescent="0.25">
      <c r="B372" s="266"/>
      <c r="X372" s="154"/>
      <c r="Y372" s="165"/>
      <c r="Z372" s="6"/>
      <c r="AA372" s="6"/>
      <c r="AB372" s="6"/>
      <c r="AC372" s="6"/>
    </row>
    <row r="373" spans="2:29" customFormat="1" x14ac:dyDescent="0.25">
      <c r="B373" s="266"/>
      <c r="X373" s="154"/>
      <c r="Y373" s="165"/>
      <c r="Z373" s="6"/>
      <c r="AA373" s="6"/>
      <c r="AB373" s="6"/>
      <c r="AC373" s="6"/>
    </row>
    <row r="374" spans="2:29" customFormat="1" x14ac:dyDescent="0.25">
      <c r="B374" s="266"/>
      <c r="X374" s="154"/>
      <c r="Y374" s="165"/>
      <c r="Z374" s="6"/>
      <c r="AA374" s="6"/>
      <c r="AB374" s="6"/>
      <c r="AC374" s="6"/>
    </row>
    <row r="375" spans="2:29" customFormat="1" x14ac:dyDescent="0.25">
      <c r="B375" s="266"/>
      <c r="X375" s="154"/>
      <c r="Y375" s="165"/>
      <c r="Z375" s="6"/>
      <c r="AA375" s="6"/>
      <c r="AB375" s="6"/>
      <c r="AC375" s="6"/>
    </row>
    <row r="376" spans="2:29" customFormat="1" x14ac:dyDescent="0.25">
      <c r="B376" s="266"/>
      <c r="X376" s="154"/>
      <c r="Y376" s="165"/>
      <c r="Z376" s="6"/>
      <c r="AA376" s="6"/>
      <c r="AB376" s="6"/>
      <c r="AC376" s="6"/>
    </row>
    <row r="377" spans="2:29" customFormat="1" x14ac:dyDescent="0.25">
      <c r="B377" s="266"/>
      <c r="X377" s="154"/>
      <c r="Y377" s="165"/>
      <c r="Z377" s="6"/>
      <c r="AA377" s="6"/>
      <c r="AB377" s="6"/>
      <c r="AC377" s="6"/>
    </row>
    <row r="378" spans="2:29" customFormat="1" x14ac:dyDescent="0.25">
      <c r="B378" s="266"/>
      <c r="X378" s="154"/>
      <c r="Y378" s="165"/>
      <c r="Z378" s="6"/>
      <c r="AA378" s="6"/>
      <c r="AB378" s="6"/>
      <c r="AC378" s="6"/>
    </row>
    <row r="379" spans="2:29" customFormat="1" x14ac:dyDescent="0.25">
      <c r="B379" s="266"/>
      <c r="X379" s="154"/>
      <c r="Y379" s="165"/>
      <c r="Z379" s="6"/>
      <c r="AA379" s="6"/>
      <c r="AB379" s="6"/>
      <c r="AC379" s="6"/>
    </row>
    <row r="380" spans="2:29" customFormat="1" x14ac:dyDescent="0.25">
      <c r="B380" s="266"/>
      <c r="X380" s="154"/>
      <c r="Y380" s="165"/>
      <c r="Z380" s="6"/>
      <c r="AA380" s="6"/>
      <c r="AB380" s="6"/>
      <c r="AC380" s="6"/>
    </row>
    <row r="381" spans="2:29" customFormat="1" x14ac:dyDescent="0.25">
      <c r="B381" s="266"/>
      <c r="X381" s="154"/>
      <c r="Y381" s="165"/>
      <c r="Z381" s="6"/>
      <c r="AA381" s="6"/>
      <c r="AB381" s="6"/>
      <c r="AC381" s="6"/>
    </row>
    <row r="382" spans="2:29" customFormat="1" x14ac:dyDescent="0.25">
      <c r="B382" s="266"/>
      <c r="X382" s="154"/>
      <c r="Y382" s="165"/>
      <c r="Z382" s="6"/>
      <c r="AA382" s="6"/>
      <c r="AB382" s="6"/>
      <c r="AC382" s="6"/>
    </row>
    <row r="383" spans="2:29" customFormat="1" x14ac:dyDescent="0.25">
      <c r="B383" s="266"/>
      <c r="X383" s="154"/>
      <c r="Y383" s="165"/>
      <c r="Z383" s="6"/>
      <c r="AA383" s="6"/>
      <c r="AB383" s="6"/>
      <c r="AC383" s="6"/>
    </row>
    <row r="384" spans="2:29" customFormat="1" x14ac:dyDescent="0.25">
      <c r="B384" s="266"/>
      <c r="X384" s="154"/>
      <c r="Y384" s="165"/>
      <c r="Z384" s="6"/>
      <c r="AA384" s="6"/>
      <c r="AB384" s="6"/>
      <c r="AC384" s="6"/>
    </row>
    <row r="385" spans="2:29" customFormat="1" x14ac:dyDescent="0.25">
      <c r="B385" s="266"/>
      <c r="X385" s="154"/>
      <c r="Y385" s="165"/>
      <c r="Z385" s="6"/>
      <c r="AA385" s="6"/>
      <c r="AB385" s="6"/>
      <c r="AC385" s="6"/>
    </row>
    <row r="386" spans="2:29" customFormat="1" x14ac:dyDescent="0.25">
      <c r="B386" s="266"/>
      <c r="X386" s="154"/>
      <c r="Y386" s="165"/>
      <c r="Z386" s="6"/>
      <c r="AA386" s="6"/>
      <c r="AB386" s="6"/>
      <c r="AC386" s="6"/>
    </row>
    <row r="387" spans="2:29" customFormat="1" x14ac:dyDescent="0.25">
      <c r="B387" s="266"/>
      <c r="X387" s="154"/>
      <c r="Y387" s="165"/>
      <c r="Z387" s="6"/>
      <c r="AA387" s="6"/>
      <c r="AB387" s="6"/>
      <c r="AC387" s="6"/>
    </row>
    <row r="388" spans="2:29" customFormat="1" x14ac:dyDescent="0.25">
      <c r="B388" s="266"/>
      <c r="X388" s="154"/>
      <c r="Y388" s="165"/>
      <c r="Z388" s="6"/>
      <c r="AA388" s="6"/>
      <c r="AB388" s="6"/>
      <c r="AC388" s="6"/>
    </row>
    <row r="389" spans="2:29" customFormat="1" x14ac:dyDescent="0.25">
      <c r="B389" s="266"/>
      <c r="X389" s="154"/>
      <c r="Y389" s="165"/>
      <c r="Z389" s="6"/>
      <c r="AA389" s="6"/>
      <c r="AB389" s="6"/>
      <c r="AC389" s="6"/>
    </row>
    <row r="390" spans="2:29" customFormat="1" x14ac:dyDescent="0.25">
      <c r="B390" s="266"/>
      <c r="X390" s="154"/>
      <c r="Y390" s="165"/>
      <c r="Z390" s="6"/>
      <c r="AA390" s="6"/>
      <c r="AB390" s="6"/>
      <c r="AC390" s="6"/>
    </row>
    <row r="391" spans="2:29" customFormat="1" x14ac:dyDescent="0.25">
      <c r="B391" s="266"/>
      <c r="X391" s="154"/>
      <c r="Y391" s="165"/>
      <c r="Z391" s="6"/>
      <c r="AA391" s="6"/>
      <c r="AB391" s="6"/>
      <c r="AC391" s="6"/>
    </row>
    <row r="392" spans="2:29" customFormat="1" x14ac:dyDescent="0.25">
      <c r="B392" s="266"/>
      <c r="X392" s="154"/>
      <c r="Y392" s="165"/>
      <c r="Z392" s="6"/>
      <c r="AA392" s="6"/>
      <c r="AB392" s="6"/>
      <c r="AC392" s="6"/>
    </row>
    <row r="393" spans="2:29" customFormat="1" x14ac:dyDescent="0.25">
      <c r="B393" s="266"/>
      <c r="X393" s="154"/>
      <c r="Y393" s="165"/>
      <c r="Z393" s="6"/>
      <c r="AA393" s="6"/>
      <c r="AB393" s="6"/>
      <c r="AC393" s="6"/>
    </row>
    <row r="394" spans="2:29" customFormat="1" x14ac:dyDescent="0.25">
      <c r="B394" s="266"/>
      <c r="X394" s="154"/>
      <c r="Y394" s="165"/>
      <c r="Z394" s="6"/>
      <c r="AA394" s="6"/>
      <c r="AB394" s="6"/>
      <c r="AC394" s="6"/>
    </row>
    <row r="395" spans="2:29" customFormat="1" x14ac:dyDescent="0.25">
      <c r="B395" s="266"/>
      <c r="X395" s="154"/>
      <c r="Y395" s="165"/>
      <c r="Z395" s="6"/>
      <c r="AA395" s="6"/>
      <c r="AB395" s="6"/>
      <c r="AC395" s="6"/>
    </row>
    <row r="396" spans="2:29" customFormat="1" x14ac:dyDescent="0.25">
      <c r="B396" s="266"/>
      <c r="X396" s="154"/>
      <c r="Y396" s="165"/>
      <c r="Z396" s="6"/>
      <c r="AA396" s="6"/>
      <c r="AB396" s="6"/>
      <c r="AC396" s="6"/>
    </row>
    <row r="397" spans="2:29" customFormat="1" x14ac:dyDescent="0.25">
      <c r="B397" s="266"/>
      <c r="X397" s="154"/>
      <c r="Y397" s="165"/>
      <c r="Z397" s="6"/>
      <c r="AA397" s="6"/>
      <c r="AB397" s="6"/>
      <c r="AC397" s="6"/>
    </row>
    <row r="398" spans="2:29" customFormat="1" x14ac:dyDescent="0.25">
      <c r="B398" s="266"/>
      <c r="X398" s="154"/>
      <c r="Y398" s="165"/>
      <c r="Z398" s="6"/>
      <c r="AA398" s="6"/>
      <c r="AB398" s="6"/>
      <c r="AC398" s="6"/>
    </row>
    <row r="399" spans="2:29" customFormat="1" x14ac:dyDescent="0.25">
      <c r="B399" s="266"/>
      <c r="X399" s="154"/>
      <c r="Y399" s="165"/>
      <c r="Z399" s="6"/>
      <c r="AA399" s="6"/>
      <c r="AB399" s="6"/>
      <c r="AC399" s="6"/>
    </row>
    <row r="400" spans="2:29" customFormat="1" x14ac:dyDescent="0.25">
      <c r="B400" s="266"/>
      <c r="X400" s="154"/>
      <c r="Y400" s="165"/>
      <c r="Z400" s="6"/>
      <c r="AA400" s="6"/>
      <c r="AB400" s="6"/>
      <c r="AC400" s="6"/>
    </row>
    <row r="401" spans="2:29" customFormat="1" x14ac:dyDescent="0.25">
      <c r="B401" s="266"/>
      <c r="X401" s="154"/>
      <c r="Y401" s="165"/>
      <c r="Z401" s="6"/>
      <c r="AA401" s="6"/>
      <c r="AB401" s="6"/>
      <c r="AC401" s="6"/>
    </row>
    <row r="402" spans="2:29" customFormat="1" x14ac:dyDescent="0.25">
      <c r="B402" s="266"/>
      <c r="X402" s="154"/>
      <c r="Y402" s="165"/>
      <c r="Z402" s="6"/>
      <c r="AA402" s="6"/>
      <c r="AB402" s="6"/>
      <c r="AC402" s="6"/>
    </row>
    <row r="403" spans="2:29" customFormat="1" x14ac:dyDescent="0.25">
      <c r="B403" s="266"/>
      <c r="X403" s="154"/>
      <c r="Y403" s="165"/>
      <c r="Z403" s="6"/>
      <c r="AA403" s="6"/>
      <c r="AB403" s="6"/>
      <c r="AC403" s="6"/>
    </row>
    <row r="404" spans="2:29" customFormat="1" x14ac:dyDescent="0.25">
      <c r="B404" s="266"/>
      <c r="X404" s="154"/>
      <c r="Y404" s="165"/>
      <c r="Z404" s="6"/>
      <c r="AA404" s="6"/>
      <c r="AB404" s="6"/>
      <c r="AC404" s="6"/>
    </row>
    <row r="405" spans="2:29" customFormat="1" x14ac:dyDescent="0.25">
      <c r="B405" s="266"/>
      <c r="X405" s="154"/>
      <c r="Y405" s="165"/>
      <c r="Z405" s="6"/>
      <c r="AA405" s="6"/>
      <c r="AB405" s="6"/>
      <c r="AC405" s="6"/>
    </row>
    <row r="406" spans="2:29" customFormat="1" x14ac:dyDescent="0.25">
      <c r="B406" s="266"/>
      <c r="X406" s="154"/>
      <c r="Y406" s="165"/>
      <c r="Z406" s="6"/>
      <c r="AA406" s="6"/>
      <c r="AB406" s="6"/>
      <c r="AC406" s="6"/>
    </row>
    <row r="407" spans="2:29" customFormat="1" x14ac:dyDescent="0.25">
      <c r="B407" s="266"/>
      <c r="X407" s="154"/>
      <c r="Y407" s="165"/>
      <c r="Z407" s="6"/>
      <c r="AA407" s="6"/>
      <c r="AB407" s="6"/>
      <c r="AC407" s="6"/>
    </row>
    <row r="408" spans="2:29" customFormat="1" x14ac:dyDescent="0.25">
      <c r="B408" s="266"/>
      <c r="X408" s="154"/>
      <c r="Y408" s="165"/>
      <c r="Z408" s="6"/>
      <c r="AA408" s="6"/>
      <c r="AB408" s="6"/>
      <c r="AC408" s="6"/>
    </row>
    <row r="409" spans="2:29" customFormat="1" x14ac:dyDescent="0.25">
      <c r="B409" s="266"/>
      <c r="X409" s="154"/>
      <c r="Y409" s="165"/>
      <c r="Z409" s="6"/>
      <c r="AA409" s="6"/>
      <c r="AB409" s="6"/>
      <c r="AC409" s="6"/>
    </row>
    <row r="410" spans="2:29" customFormat="1" x14ac:dyDescent="0.25">
      <c r="B410" s="266"/>
      <c r="X410" s="154"/>
      <c r="Y410" s="165"/>
      <c r="Z410" s="6"/>
      <c r="AA410" s="6"/>
      <c r="AB410" s="6"/>
      <c r="AC410" s="6"/>
    </row>
    <row r="411" spans="2:29" customFormat="1" x14ac:dyDescent="0.25">
      <c r="B411" s="266"/>
      <c r="X411" s="154"/>
      <c r="Y411" s="165"/>
      <c r="Z411" s="6"/>
      <c r="AA411" s="6"/>
      <c r="AB411" s="6"/>
      <c r="AC411" s="6"/>
    </row>
    <row r="412" spans="2:29" customFormat="1" x14ac:dyDescent="0.25">
      <c r="B412" s="266"/>
      <c r="X412" s="154"/>
      <c r="Y412" s="165"/>
      <c r="Z412" s="6"/>
      <c r="AA412" s="6"/>
      <c r="AB412" s="6"/>
      <c r="AC412" s="6"/>
    </row>
    <row r="413" spans="2:29" customFormat="1" x14ac:dyDescent="0.25">
      <c r="B413" s="266"/>
      <c r="X413" s="154"/>
      <c r="Y413" s="165"/>
      <c r="Z413" s="6"/>
      <c r="AA413" s="6"/>
      <c r="AB413" s="6"/>
      <c r="AC413" s="6"/>
    </row>
    <row r="414" spans="2:29" customFormat="1" x14ac:dyDescent="0.25">
      <c r="B414" s="266"/>
      <c r="X414" s="154"/>
      <c r="Y414" s="165"/>
      <c r="Z414" s="6"/>
      <c r="AA414" s="6"/>
      <c r="AB414" s="6"/>
      <c r="AC414" s="6"/>
    </row>
    <row r="415" spans="2:29" customFormat="1" x14ac:dyDescent="0.25">
      <c r="B415" s="266"/>
      <c r="X415" s="154"/>
      <c r="Y415" s="165"/>
      <c r="Z415" s="6"/>
      <c r="AA415" s="6"/>
      <c r="AB415" s="6"/>
      <c r="AC415" s="6"/>
    </row>
    <row r="416" spans="2:29" customFormat="1" x14ac:dyDescent="0.25">
      <c r="B416" s="266"/>
      <c r="X416" s="154"/>
      <c r="Y416" s="165"/>
      <c r="Z416" s="6"/>
      <c r="AA416" s="6"/>
      <c r="AB416" s="6"/>
      <c r="AC416" s="6"/>
    </row>
    <row r="417" spans="2:29" customFormat="1" x14ac:dyDescent="0.25">
      <c r="B417" s="266"/>
      <c r="X417" s="154"/>
      <c r="Y417" s="165"/>
      <c r="Z417" s="6"/>
      <c r="AA417" s="6"/>
      <c r="AB417" s="6"/>
      <c r="AC417" s="6"/>
    </row>
    <row r="418" spans="2:29" customFormat="1" x14ac:dyDescent="0.25">
      <c r="B418" s="266"/>
      <c r="X418" s="154"/>
      <c r="Y418" s="165"/>
      <c r="Z418" s="6"/>
      <c r="AA418" s="6"/>
      <c r="AB418" s="6"/>
      <c r="AC418" s="6"/>
    </row>
    <row r="419" spans="2:29" customFormat="1" x14ac:dyDescent="0.25">
      <c r="B419" s="266"/>
      <c r="X419" s="154"/>
      <c r="Y419" s="165"/>
      <c r="Z419" s="6"/>
      <c r="AA419" s="6"/>
      <c r="AB419" s="6"/>
      <c r="AC419" s="6"/>
    </row>
    <row r="420" spans="2:29" customFormat="1" x14ac:dyDescent="0.25">
      <c r="B420" s="266"/>
      <c r="X420" s="154"/>
      <c r="Y420" s="165"/>
      <c r="Z420" s="6"/>
      <c r="AA420" s="6"/>
      <c r="AB420" s="6"/>
      <c r="AC420" s="6"/>
    </row>
    <row r="421" spans="2:29" customFormat="1" x14ac:dyDescent="0.25">
      <c r="B421" s="266"/>
      <c r="X421" s="154"/>
      <c r="Y421" s="165"/>
      <c r="Z421" s="6"/>
      <c r="AA421" s="6"/>
      <c r="AB421" s="6"/>
      <c r="AC421" s="6"/>
    </row>
    <row r="422" spans="2:29" customFormat="1" x14ac:dyDescent="0.25">
      <c r="B422" s="266"/>
      <c r="X422" s="154"/>
      <c r="Y422" s="165"/>
      <c r="Z422" s="6"/>
      <c r="AA422" s="6"/>
      <c r="AB422" s="6"/>
      <c r="AC422" s="6"/>
    </row>
    <row r="423" spans="2:29" customFormat="1" x14ac:dyDescent="0.25">
      <c r="B423" s="266"/>
      <c r="X423" s="154"/>
      <c r="Y423" s="165"/>
      <c r="Z423" s="6"/>
      <c r="AA423" s="6"/>
      <c r="AB423" s="6"/>
      <c r="AC423" s="6"/>
    </row>
    <row r="424" spans="2:29" customFormat="1" x14ac:dyDescent="0.25">
      <c r="B424" s="266"/>
      <c r="X424" s="154"/>
      <c r="Y424" s="165"/>
      <c r="Z424" s="6"/>
      <c r="AA424" s="6"/>
      <c r="AB424" s="6"/>
      <c r="AC424" s="6"/>
    </row>
    <row r="425" spans="2:29" customFormat="1" x14ac:dyDescent="0.25">
      <c r="B425" s="266"/>
      <c r="X425" s="154"/>
      <c r="Y425" s="165"/>
      <c r="Z425" s="6"/>
      <c r="AA425" s="6"/>
      <c r="AB425" s="6"/>
      <c r="AC425" s="6"/>
    </row>
    <row r="426" spans="2:29" customFormat="1" x14ac:dyDescent="0.25">
      <c r="B426" s="266"/>
      <c r="X426" s="154"/>
      <c r="Y426" s="165"/>
      <c r="Z426" s="6"/>
      <c r="AA426" s="6"/>
      <c r="AB426" s="6"/>
      <c r="AC426" s="6"/>
    </row>
    <row r="427" spans="2:29" customFormat="1" x14ac:dyDescent="0.25">
      <c r="B427" s="266"/>
      <c r="X427" s="154"/>
      <c r="Y427" s="165"/>
      <c r="Z427" s="6"/>
      <c r="AA427" s="6"/>
      <c r="AB427" s="6"/>
      <c r="AC427" s="6"/>
    </row>
    <row r="428" spans="2:29" customFormat="1" x14ac:dyDescent="0.25">
      <c r="B428" s="266"/>
      <c r="X428" s="154"/>
      <c r="Y428" s="165"/>
      <c r="Z428" s="6"/>
      <c r="AA428" s="6"/>
      <c r="AB428" s="6"/>
      <c r="AC428" s="6"/>
    </row>
    <row r="429" spans="2:29" customFormat="1" x14ac:dyDescent="0.25">
      <c r="B429" s="266"/>
      <c r="X429" s="154"/>
      <c r="Y429" s="165"/>
      <c r="Z429" s="6"/>
      <c r="AA429" s="6"/>
      <c r="AB429" s="6"/>
      <c r="AC429" s="6"/>
    </row>
    <row r="430" spans="2:29" customFormat="1" x14ac:dyDescent="0.25">
      <c r="B430" s="266"/>
      <c r="X430" s="154"/>
      <c r="Y430" s="165"/>
      <c r="Z430" s="6"/>
      <c r="AA430" s="6"/>
      <c r="AB430" s="6"/>
      <c r="AC430" s="6"/>
    </row>
    <row r="431" spans="2:29" customFormat="1" x14ac:dyDescent="0.25">
      <c r="B431" s="266"/>
      <c r="X431" s="154"/>
      <c r="Y431" s="165"/>
      <c r="Z431" s="6"/>
      <c r="AA431" s="6"/>
      <c r="AB431" s="6"/>
      <c r="AC431" s="6"/>
    </row>
    <row r="432" spans="2:29" customFormat="1" x14ac:dyDescent="0.25">
      <c r="B432" s="266"/>
      <c r="X432" s="154"/>
      <c r="Y432" s="165"/>
      <c r="Z432" s="6"/>
      <c r="AA432" s="6"/>
      <c r="AB432" s="6"/>
      <c r="AC432" s="6"/>
    </row>
    <row r="433" spans="2:29" customFormat="1" x14ac:dyDescent="0.25">
      <c r="B433" s="266"/>
      <c r="X433" s="154"/>
      <c r="Y433" s="165"/>
      <c r="Z433" s="6"/>
      <c r="AA433" s="6"/>
      <c r="AB433" s="6"/>
      <c r="AC433" s="6"/>
    </row>
    <row r="434" spans="2:29" customFormat="1" x14ac:dyDescent="0.25">
      <c r="B434" s="266"/>
      <c r="X434" s="154"/>
      <c r="Y434" s="165"/>
      <c r="Z434" s="6"/>
      <c r="AA434" s="6"/>
      <c r="AB434" s="6"/>
      <c r="AC434" s="6"/>
    </row>
    <row r="435" spans="2:29" customFormat="1" x14ac:dyDescent="0.25">
      <c r="B435" s="266"/>
      <c r="X435" s="154"/>
      <c r="Y435" s="165"/>
      <c r="Z435" s="6"/>
      <c r="AA435" s="6"/>
      <c r="AB435" s="6"/>
      <c r="AC435" s="6"/>
    </row>
    <row r="436" spans="2:29" customFormat="1" x14ac:dyDescent="0.25">
      <c r="B436" s="266"/>
      <c r="X436" s="154"/>
      <c r="Y436" s="165"/>
      <c r="Z436" s="6"/>
      <c r="AA436" s="6"/>
      <c r="AB436" s="6"/>
      <c r="AC436" s="6"/>
    </row>
    <row r="437" spans="2:29" customFormat="1" x14ac:dyDescent="0.25">
      <c r="B437" s="266"/>
      <c r="X437" s="154"/>
      <c r="Y437" s="165"/>
      <c r="Z437" s="6"/>
      <c r="AA437" s="6"/>
      <c r="AB437" s="6"/>
      <c r="AC437" s="6"/>
    </row>
    <row r="438" spans="2:29" customFormat="1" x14ac:dyDescent="0.25">
      <c r="B438" s="266"/>
      <c r="X438" s="154"/>
      <c r="Y438" s="165"/>
      <c r="Z438" s="6"/>
      <c r="AA438" s="6"/>
      <c r="AB438" s="6"/>
      <c r="AC438" s="6"/>
    </row>
    <row r="439" spans="2:29" customFormat="1" x14ac:dyDescent="0.25">
      <c r="B439" s="266"/>
      <c r="X439" s="154"/>
      <c r="Y439" s="165"/>
      <c r="Z439" s="6"/>
      <c r="AA439" s="6"/>
      <c r="AB439" s="6"/>
      <c r="AC439" s="6"/>
    </row>
    <row r="440" spans="2:29" customFormat="1" x14ac:dyDescent="0.25">
      <c r="B440" s="266"/>
      <c r="X440" s="154"/>
      <c r="Y440" s="165"/>
      <c r="Z440" s="6"/>
      <c r="AA440" s="6"/>
      <c r="AB440" s="6"/>
      <c r="AC440" s="6"/>
    </row>
    <row r="441" spans="2:29" customFormat="1" x14ac:dyDescent="0.25">
      <c r="B441" s="266"/>
      <c r="X441" s="154"/>
      <c r="Y441" s="165"/>
      <c r="Z441" s="6"/>
      <c r="AA441" s="6"/>
      <c r="AB441" s="6"/>
      <c r="AC441" s="6"/>
    </row>
    <row r="442" spans="2:29" customFormat="1" x14ac:dyDescent="0.25">
      <c r="B442" s="266"/>
      <c r="X442" s="154"/>
      <c r="Y442" s="165"/>
      <c r="Z442" s="6"/>
      <c r="AA442" s="6"/>
      <c r="AB442" s="6"/>
      <c r="AC442" s="6"/>
    </row>
    <row r="443" spans="2:29" customFormat="1" x14ac:dyDescent="0.25">
      <c r="B443" s="266"/>
      <c r="X443" s="154"/>
      <c r="Y443" s="165"/>
      <c r="Z443" s="6"/>
      <c r="AA443" s="6"/>
      <c r="AB443" s="6"/>
      <c r="AC443" s="6"/>
    </row>
    <row r="444" spans="2:29" customFormat="1" x14ac:dyDescent="0.25">
      <c r="B444" s="266"/>
      <c r="X444" s="154"/>
      <c r="Y444" s="165"/>
      <c r="Z444" s="6"/>
      <c r="AA444" s="6"/>
      <c r="AB444" s="6"/>
      <c r="AC444" s="6"/>
    </row>
    <row r="445" spans="2:29" customFormat="1" x14ac:dyDescent="0.25">
      <c r="B445" s="266"/>
      <c r="X445" s="154"/>
      <c r="Y445" s="165"/>
      <c r="Z445" s="6"/>
      <c r="AA445" s="6"/>
      <c r="AB445" s="6"/>
      <c r="AC445" s="6"/>
    </row>
    <row r="446" spans="2:29" customFormat="1" x14ac:dyDescent="0.25">
      <c r="B446" s="266"/>
      <c r="X446" s="154"/>
      <c r="Y446" s="165"/>
      <c r="Z446" s="6"/>
      <c r="AA446" s="6"/>
      <c r="AB446" s="6"/>
      <c r="AC446" s="6"/>
    </row>
    <row r="447" spans="2:29" customFormat="1" x14ac:dyDescent="0.25">
      <c r="B447" s="266"/>
      <c r="X447" s="154"/>
      <c r="Y447" s="165"/>
      <c r="Z447" s="6"/>
      <c r="AA447" s="6"/>
      <c r="AB447" s="6"/>
      <c r="AC447" s="6"/>
    </row>
    <row r="448" spans="2:29" customFormat="1" x14ac:dyDescent="0.25">
      <c r="B448" s="266"/>
      <c r="X448" s="154"/>
      <c r="Y448" s="165"/>
      <c r="Z448" s="6"/>
      <c r="AA448" s="6"/>
      <c r="AB448" s="6"/>
      <c r="AC448" s="6"/>
    </row>
    <row r="449" spans="2:29" customFormat="1" x14ac:dyDescent="0.25">
      <c r="B449" s="266"/>
      <c r="X449" s="154"/>
      <c r="Y449" s="165"/>
      <c r="Z449" s="6"/>
      <c r="AA449" s="6"/>
      <c r="AB449" s="6"/>
      <c r="AC449" s="6"/>
    </row>
    <row r="450" spans="2:29" customFormat="1" x14ac:dyDescent="0.25">
      <c r="B450" s="266"/>
      <c r="X450" s="154"/>
      <c r="Y450" s="165"/>
      <c r="Z450" s="6"/>
      <c r="AA450" s="6"/>
      <c r="AB450" s="6"/>
      <c r="AC450" s="6"/>
    </row>
    <row r="451" spans="2:29" customFormat="1" x14ac:dyDescent="0.25">
      <c r="B451" s="266"/>
      <c r="X451" s="154"/>
      <c r="Y451" s="165"/>
      <c r="Z451" s="6"/>
      <c r="AA451" s="6"/>
      <c r="AB451" s="6"/>
      <c r="AC451" s="6"/>
    </row>
    <row r="452" spans="2:29" customFormat="1" x14ac:dyDescent="0.25">
      <c r="B452" s="266"/>
      <c r="X452" s="154"/>
      <c r="Y452" s="165"/>
      <c r="Z452" s="6"/>
      <c r="AA452" s="6"/>
      <c r="AB452" s="6"/>
      <c r="AC452" s="6"/>
    </row>
    <row r="453" spans="2:29" customFormat="1" x14ac:dyDescent="0.25">
      <c r="B453" s="266"/>
      <c r="X453" s="154"/>
      <c r="Y453" s="165"/>
      <c r="Z453" s="6"/>
      <c r="AA453" s="6"/>
      <c r="AB453" s="6"/>
      <c r="AC453" s="6"/>
    </row>
    <row r="454" spans="2:29" customFormat="1" x14ac:dyDescent="0.25">
      <c r="B454" s="266"/>
      <c r="X454" s="154"/>
      <c r="Y454" s="165"/>
      <c r="Z454" s="6"/>
      <c r="AA454" s="6"/>
      <c r="AB454" s="6"/>
      <c r="AC454" s="6"/>
    </row>
    <row r="455" spans="2:29" customFormat="1" x14ac:dyDescent="0.25">
      <c r="B455" s="266"/>
      <c r="X455" s="154"/>
      <c r="Y455" s="165"/>
      <c r="Z455" s="6"/>
      <c r="AA455" s="6"/>
      <c r="AB455" s="6"/>
      <c r="AC455" s="6"/>
    </row>
    <row r="456" spans="2:29" customFormat="1" x14ac:dyDescent="0.25">
      <c r="B456" s="266"/>
      <c r="X456" s="154"/>
      <c r="Y456" s="165"/>
      <c r="Z456" s="6"/>
      <c r="AA456" s="6"/>
      <c r="AB456" s="6"/>
      <c r="AC456" s="6"/>
    </row>
    <row r="457" spans="2:29" customFormat="1" x14ac:dyDescent="0.25">
      <c r="B457" s="266"/>
      <c r="X457" s="154"/>
      <c r="Y457" s="165"/>
      <c r="Z457" s="6"/>
      <c r="AA457" s="6"/>
      <c r="AB457" s="6"/>
      <c r="AC457" s="6"/>
    </row>
    <row r="458" spans="2:29" customFormat="1" x14ac:dyDescent="0.25">
      <c r="B458" s="266"/>
      <c r="X458" s="154"/>
      <c r="Y458" s="165"/>
      <c r="Z458" s="6"/>
      <c r="AA458" s="6"/>
      <c r="AB458" s="6"/>
      <c r="AC458" s="6"/>
    </row>
    <row r="459" spans="2:29" customFormat="1" x14ac:dyDescent="0.25">
      <c r="B459" s="266"/>
      <c r="X459" s="154"/>
      <c r="Y459" s="165"/>
      <c r="Z459" s="6"/>
      <c r="AA459" s="6"/>
      <c r="AB459" s="6"/>
      <c r="AC459" s="6"/>
    </row>
    <row r="460" spans="2:29" customFormat="1" x14ac:dyDescent="0.25">
      <c r="B460" s="266"/>
      <c r="X460" s="154"/>
      <c r="Y460" s="165"/>
      <c r="Z460" s="6"/>
      <c r="AA460" s="6"/>
      <c r="AB460" s="6"/>
      <c r="AC460" s="6"/>
    </row>
    <row r="461" spans="2:29" customFormat="1" x14ac:dyDescent="0.25">
      <c r="B461" s="266"/>
      <c r="X461" s="154"/>
      <c r="Y461" s="165"/>
      <c r="Z461" s="6"/>
      <c r="AA461" s="6"/>
      <c r="AB461" s="6"/>
      <c r="AC461" s="6"/>
    </row>
    <row r="462" spans="2:29" customFormat="1" x14ac:dyDescent="0.25">
      <c r="B462" s="266"/>
      <c r="X462" s="154"/>
      <c r="Y462" s="165"/>
      <c r="Z462" s="6"/>
      <c r="AA462" s="6"/>
      <c r="AB462" s="6"/>
      <c r="AC462" s="6"/>
    </row>
    <row r="463" spans="2:29" customFormat="1" x14ac:dyDescent="0.25">
      <c r="B463" s="266"/>
      <c r="X463" s="154"/>
      <c r="Y463" s="165"/>
      <c r="Z463" s="6"/>
      <c r="AA463" s="6"/>
      <c r="AB463" s="6"/>
      <c r="AC463" s="6"/>
    </row>
    <row r="464" spans="2:29" customFormat="1" x14ac:dyDescent="0.25">
      <c r="B464" s="266"/>
      <c r="X464" s="154"/>
      <c r="Y464" s="165"/>
      <c r="Z464" s="6"/>
      <c r="AA464" s="6"/>
      <c r="AB464" s="6"/>
      <c r="AC464" s="6"/>
    </row>
    <row r="465" spans="2:29" customFormat="1" x14ac:dyDescent="0.25">
      <c r="B465" s="266"/>
      <c r="X465" s="154"/>
      <c r="Y465" s="165"/>
      <c r="Z465" s="6"/>
      <c r="AA465" s="6"/>
      <c r="AB465" s="6"/>
      <c r="AC465" s="6"/>
    </row>
    <row r="466" spans="2:29" customFormat="1" x14ac:dyDescent="0.25">
      <c r="B466" s="266"/>
      <c r="X466" s="154"/>
      <c r="Y466" s="165"/>
      <c r="Z466" s="6"/>
      <c r="AA466" s="6"/>
      <c r="AB466" s="6"/>
      <c r="AC466" s="6"/>
    </row>
    <row r="467" spans="2:29" customFormat="1" x14ac:dyDescent="0.25">
      <c r="B467" s="266"/>
      <c r="X467" s="154"/>
      <c r="Y467" s="165"/>
      <c r="Z467" s="6"/>
      <c r="AA467" s="6"/>
      <c r="AB467" s="6"/>
      <c r="AC467" s="6"/>
    </row>
    <row r="468" spans="2:29" customFormat="1" x14ac:dyDescent="0.25">
      <c r="B468" s="266"/>
      <c r="X468" s="154"/>
      <c r="Y468" s="165"/>
      <c r="Z468" s="6"/>
      <c r="AA468" s="6"/>
      <c r="AB468" s="6"/>
      <c r="AC468" s="6"/>
    </row>
    <row r="469" spans="2:29" customFormat="1" x14ac:dyDescent="0.25">
      <c r="B469" s="266"/>
      <c r="X469" s="154"/>
      <c r="Y469" s="165"/>
      <c r="Z469" s="6"/>
      <c r="AA469" s="6"/>
      <c r="AB469" s="6"/>
      <c r="AC469" s="6"/>
    </row>
    <row r="470" spans="2:29" customFormat="1" x14ac:dyDescent="0.25">
      <c r="B470" s="266"/>
      <c r="X470" s="154"/>
      <c r="Y470" s="165"/>
      <c r="Z470" s="6"/>
      <c r="AA470" s="6"/>
      <c r="AB470" s="6"/>
      <c r="AC470" s="6"/>
    </row>
    <row r="471" spans="2:29" customFormat="1" x14ac:dyDescent="0.25">
      <c r="B471" s="266"/>
      <c r="X471" s="154"/>
      <c r="Y471" s="165"/>
      <c r="Z471" s="6"/>
      <c r="AA471" s="6"/>
      <c r="AB471" s="6"/>
      <c r="AC471" s="6"/>
    </row>
    <row r="472" spans="2:29" customFormat="1" x14ac:dyDescent="0.25">
      <c r="B472" s="266"/>
      <c r="X472" s="154"/>
      <c r="Y472" s="165"/>
      <c r="Z472" s="6"/>
      <c r="AA472" s="6"/>
      <c r="AB472" s="6"/>
      <c r="AC472" s="6"/>
    </row>
    <row r="473" spans="2:29" customFormat="1" x14ac:dyDescent="0.25">
      <c r="B473" s="266"/>
      <c r="X473" s="154"/>
      <c r="Y473" s="165"/>
      <c r="Z473" s="6"/>
      <c r="AA473" s="6"/>
      <c r="AB473" s="6"/>
      <c r="AC473" s="6"/>
    </row>
    <row r="474" spans="2:29" customFormat="1" x14ac:dyDescent="0.25">
      <c r="B474" s="266"/>
      <c r="X474" s="154"/>
      <c r="Y474" s="165"/>
      <c r="Z474" s="6"/>
      <c r="AA474" s="6"/>
      <c r="AB474" s="6"/>
      <c r="AC474" s="6"/>
    </row>
    <row r="475" spans="2:29" customFormat="1" x14ac:dyDescent="0.25">
      <c r="B475" s="266"/>
      <c r="X475" s="154"/>
      <c r="Y475" s="165"/>
      <c r="Z475" s="6"/>
      <c r="AA475" s="6"/>
      <c r="AB475" s="6"/>
      <c r="AC475" s="6"/>
    </row>
    <row r="476" spans="2:29" customFormat="1" x14ac:dyDescent="0.25">
      <c r="B476" s="266"/>
      <c r="X476" s="154"/>
      <c r="Y476" s="165"/>
      <c r="Z476" s="6"/>
      <c r="AA476" s="6"/>
      <c r="AB476" s="6"/>
      <c r="AC476" s="6"/>
    </row>
    <row r="477" spans="2:29" customFormat="1" x14ac:dyDescent="0.25">
      <c r="B477" s="266"/>
      <c r="X477" s="154"/>
      <c r="Y477" s="165"/>
      <c r="Z477" s="6"/>
      <c r="AA477" s="6"/>
      <c r="AB477" s="6"/>
      <c r="AC477" s="6"/>
    </row>
    <row r="478" spans="2:29" customFormat="1" x14ac:dyDescent="0.25">
      <c r="B478" s="266"/>
      <c r="X478" s="154"/>
      <c r="Y478" s="165"/>
      <c r="Z478" s="6"/>
      <c r="AA478" s="6"/>
      <c r="AB478" s="6"/>
      <c r="AC478" s="6"/>
    </row>
    <row r="479" spans="2:29" customFormat="1" x14ac:dyDescent="0.25">
      <c r="B479" s="266"/>
      <c r="X479" s="154"/>
      <c r="Y479" s="165"/>
      <c r="Z479" s="6"/>
      <c r="AA479" s="6"/>
      <c r="AB479" s="6"/>
      <c r="AC479" s="6"/>
    </row>
    <row r="480" spans="2:29" customFormat="1" x14ac:dyDescent="0.25">
      <c r="B480" s="266"/>
      <c r="X480" s="154"/>
      <c r="Y480" s="165"/>
      <c r="Z480" s="6"/>
      <c r="AA480" s="6"/>
      <c r="AB480" s="6"/>
      <c r="AC480" s="6"/>
    </row>
    <row r="481" spans="2:29" customFormat="1" x14ac:dyDescent="0.25">
      <c r="B481" s="266"/>
      <c r="X481" s="154"/>
      <c r="Y481" s="165"/>
      <c r="Z481" s="6"/>
      <c r="AA481" s="6"/>
      <c r="AB481" s="6"/>
      <c r="AC481" s="6"/>
    </row>
    <row r="482" spans="2:29" customFormat="1" x14ac:dyDescent="0.25">
      <c r="B482" s="266"/>
      <c r="X482" s="154"/>
      <c r="Y482" s="165"/>
      <c r="Z482" s="6"/>
      <c r="AA482" s="6"/>
      <c r="AB482" s="6"/>
      <c r="AC482" s="6"/>
    </row>
    <row r="483" spans="2:29" customFormat="1" x14ac:dyDescent="0.25">
      <c r="B483" s="266"/>
      <c r="X483" s="154"/>
      <c r="Y483" s="165"/>
      <c r="Z483" s="6"/>
      <c r="AA483" s="6"/>
      <c r="AB483" s="6"/>
      <c r="AC483" s="6"/>
    </row>
    <row r="484" spans="2:29" customFormat="1" x14ac:dyDescent="0.25">
      <c r="B484" s="266"/>
      <c r="X484" s="154"/>
      <c r="Y484" s="165"/>
      <c r="Z484" s="6"/>
      <c r="AA484" s="6"/>
      <c r="AB484" s="6"/>
      <c r="AC484" s="6"/>
    </row>
    <row r="485" spans="2:29" customFormat="1" x14ac:dyDescent="0.25">
      <c r="B485" s="266"/>
      <c r="X485" s="154"/>
      <c r="Y485" s="165"/>
      <c r="Z485" s="6"/>
      <c r="AA485" s="6"/>
      <c r="AB485" s="6"/>
      <c r="AC485" s="6"/>
    </row>
    <row r="486" spans="2:29" customFormat="1" x14ac:dyDescent="0.25">
      <c r="B486" s="266"/>
      <c r="X486" s="154"/>
      <c r="Y486" s="165"/>
      <c r="Z486" s="6"/>
      <c r="AA486" s="6"/>
      <c r="AB486" s="6"/>
      <c r="AC486" s="6"/>
    </row>
    <row r="487" spans="2:29" customFormat="1" x14ac:dyDescent="0.25">
      <c r="B487" s="266"/>
      <c r="X487" s="154"/>
      <c r="Y487" s="165"/>
      <c r="Z487" s="6"/>
      <c r="AA487" s="6"/>
      <c r="AB487" s="6"/>
      <c r="AC487" s="6"/>
    </row>
    <row r="488" spans="2:29" customFormat="1" x14ac:dyDescent="0.25">
      <c r="B488" s="266"/>
      <c r="X488" s="154"/>
      <c r="Y488" s="165"/>
      <c r="Z488" s="6"/>
      <c r="AA488" s="6"/>
      <c r="AB488" s="6"/>
      <c r="AC488" s="6"/>
    </row>
    <row r="489" spans="2:29" customFormat="1" x14ac:dyDescent="0.25">
      <c r="B489" s="266"/>
      <c r="X489" s="154"/>
      <c r="Y489" s="165"/>
      <c r="Z489" s="6"/>
      <c r="AA489" s="6"/>
      <c r="AB489" s="6"/>
      <c r="AC489" s="6"/>
    </row>
    <row r="490" spans="2:29" customFormat="1" x14ac:dyDescent="0.25">
      <c r="B490" s="266"/>
      <c r="X490" s="154"/>
      <c r="Y490" s="165"/>
      <c r="Z490" s="6"/>
      <c r="AA490" s="6"/>
      <c r="AB490" s="6"/>
      <c r="AC490" s="6"/>
    </row>
    <row r="491" spans="2:29" customFormat="1" x14ac:dyDescent="0.25">
      <c r="B491" s="266"/>
      <c r="X491" s="154"/>
      <c r="Y491" s="165"/>
      <c r="Z491" s="6"/>
      <c r="AA491" s="6"/>
      <c r="AB491" s="6"/>
      <c r="AC491" s="6"/>
    </row>
    <row r="492" spans="2:29" customFormat="1" x14ac:dyDescent="0.25">
      <c r="B492" s="266"/>
      <c r="X492" s="154"/>
      <c r="Y492" s="165"/>
      <c r="Z492" s="6"/>
      <c r="AA492" s="6"/>
      <c r="AB492" s="6"/>
      <c r="AC492" s="6"/>
    </row>
    <row r="493" spans="2:29" customFormat="1" x14ac:dyDescent="0.25">
      <c r="B493" s="266"/>
      <c r="X493" s="154"/>
      <c r="Y493" s="165"/>
      <c r="Z493" s="6"/>
      <c r="AA493" s="6"/>
      <c r="AB493" s="6"/>
      <c r="AC493" s="6"/>
    </row>
    <row r="494" spans="2:29" customFormat="1" x14ac:dyDescent="0.25">
      <c r="B494" s="266"/>
      <c r="X494" s="154"/>
      <c r="Y494" s="165"/>
      <c r="Z494" s="6"/>
      <c r="AA494" s="6"/>
      <c r="AB494" s="6"/>
      <c r="AC494" s="6"/>
    </row>
    <row r="495" spans="2:29" customFormat="1" x14ac:dyDescent="0.25">
      <c r="B495" s="266"/>
      <c r="X495" s="154"/>
      <c r="Y495" s="165"/>
      <c r="Z495" s="6"/>
      <c r="AA495" s="6"/>
      <c r="AB495" s="6"/>
      <c r="AC495" s="6"/>
    </row>
    <row r="496" spans="2:29" customFormat="1" x14ac:dyDescent="0.25">
      <c r="B496" s="266"/>
      <c r="X496" s="154"/>
      <c r="Y496" s="165"/>
      <c r="Z496" s="6"/>
      <c r="AA496" s="6"/>
      <c r="AB496" s="6"/>
      <c r="AC496" s="6"/>
    </row>
    <row r="497" spans="2:29" customFormat="1" x14ac:dyDescent="0.25">
      <c r="B497" s="266"/>
      <c r="X497" s="154"/>
      <c r="Y497" s="165"/>
      <c r="Z497" s="6"/>
      <c r="AA497" s="6"/>
      <c r="AB497" s="6"/>
      <c r="AC497" s="6"/>
    </row>
    <row r="498" spans="2:29" customFormat="1" x14ac:dyDescent="0.25">
      <c r="B498" s="266"/>
      <c r="X498" s="154"/>
      <c r="Y498" s="165"/>
      <c r="Z498" s="6"/>
      <c r="AA498" s="6"/>
      <c r="AB498" s="6"/>
      <c r="AC498" s="6"/>
    </row>
    <row r="499" spans="2:29" customFormat="1" x14ac:dyDescent="0.25">
      <c r="B499" s="266"/>
      <c r="X499" s="154"/>
      <c r="Y499" s="165"/>
      <c r="Z499" s="6"/>
      <c r="AA499" s="6"/>
      <c r="AB499" s="6"/>
      <c r="AC499" s="6"/>
    </row>
    <row r="500" spans="2:29" customFormat="1" x14ac:dyDescent="0.25">
      <c r="B500" s="266"/>
      <c r="X500" s="154"/>
      <c r="Y500" s="165"/>
      <c r="Z500" s="6"/>
      <c r="AA500" s="6"/>
      <c r="AB500" s="6"/>
      <c r="AC500" s="6"/>
    </row>
    <row r="501" spans="2:29" customFormat="1" x14ac:dyDescent="0.25">
      <c r="B501" s="266"/>
      <c r="X501" s="154"/>
      <c r="Y501" s="165"/>
      <c r="Z501" s="6"/>
      <c r="AA501" s="6"/>
      <c r="AB501" s="6"/>
      <c r="AC501" s="6"/>
    </row>
    <row r="502" spans="2:29" customFormat="1" x14ac:dyDescent="0.25">
      <c r="B502" s="266"/>
      <c r="X502" s="154"/>
      <c r="Y502" s="165"/>
      <c r="Z502" s="6"/>
      <c r="AA502" s="6"/>
      <c r="AB502" s="6"/>
      <c r="AC502" s="6"/>
    </row>
    <row r="503" spans="2:29" customFormat="1" x14ac:dyDescent="0.25">
      <c r="B503" s="266"/>
      <c r="X503" s="154"/>
      <c r="Y503" s="165"/>
      <c r="Z503" s="6"/>
      <c r="AA503" s="6"/>
      <c r="AB503" s="6"/>
      <c r="AC503" s="6"/>
    </row>
    <row r="504" spans="2:29" customFormat="1" x14ac:dyDescent="0.25">
      <c r="B504" s="266"/>
      <c r="X504" s="154"/>
      <c r="Y504" s="165"/>
      <c r="Z504" s="6"/>
      <c r="AA504" s="6"/>
      <c r="AB504" s="6"/>
      <c r="AC504" s="6"/>
    </row>
    <row r="505" spans="2:29" customFormat="1" x14ac:dyDescent="0.25">
      <c r="B505" s="266"/>
      <c r="X505" s="154"/>
      <c r="Y505" s="165"/>
      <c r="Z505" s="6"/>
      <c r="AA505" s="6"/>
      <c r="AB505" s="6"/>
      <c r="AC505" s="6"/>
    </row>
    <row r="506" spans="2:29" customFormat="1" x14ac:dyDescent="0.25">
      <c r="B506" s="266"/>
      <c r="X506" s="154"/>
      <c r="Y506" s="165"/>
      <c r="Z506" s="6"/>
      <c r="AA506" s="6"/>
      <c r="AB506" s="6"/>
      <c r="AC506" s="6"/>
    </row>
    <row r="507" spans="2:29" customFormat="1" x14ac:dyDescent="0.25">
      <c r="B507" s="266"/>
      <c r="X507" s="154"/>
      <c r="Y507" s="165"/>
      <c r="Z507" s="6"/>
      <c r="AA507" s="6"/>
      <c r="AB507" s="6"/>
      <c r="AC507" s="6"/>
    </row>
    <row r="508" spans="2:29" customFormat="1" x14ac:dyDescent="0.25">
      <c r="B508" s="266"/>
      <c r="X508" s="154"/>
      <c r="Y508" s="165"/>
      <c r="Z508" s="6"/>
      <c r="AA508" s="6"/>
      <c r="AB508" s="6"/>
      <c r="AC508" s="6"/>
    </row>
    <row r="509" spans="2:29" customFormat="1" x14ac:dyDescent="0.25">
      <c r="B509" s="266"/>
      <c r="X509" s="154"/>
      <c r="Y509" s="165"/>
      <c r="Z509" s="6"/>
      <c r="AA509" s="6"/>
      <c r="AB509" s="6"/>
      <c r="AC509" s="6"/>
    </row>
    <row r="510" spans="2:29" customFormat="1" x14ac:dyDescent="0.25">
      <c r="B510" s="266"/>
      <c r="X510" s="154"/>
      <c r="Y510" s="165"/>
      <c r="Z510" s="6"/>
      <c r="AA510" s="6"/>
      <c r="AB510" s="6"/>
      <c r="AC510" s="6"/>
    </row>
    <row r="511" spans="2:29" customFormat="1" x14ac:dyDescent="0.25">
      <c r="B511" s="266"/>
      <c r="X511" s="154"/>
      <c r="Y511" s="165"/>
      <c r="Z511" s="6"/>
      <c r="AA511" s="6"/>
      <c r="AB511" s="6"/>
      <c r="AC511" s="6"/>
    </row>
    <row r="512" spans="2:29" customFormat="1" x14ac:dyDescent="0.25">
      <c r="B512" s="266"/>
      <c r="X512" s="154"/>
      <c r="Y512" s="165"/>
      <c r="Z512" s="6"/>
      <c r="AA512" s="6"/>
      <c r="AB512" s="6"/>
      <c r="AC512" s="6"/>
    </row>
    <row r="513" spans="2:29" customFormat="1" x14ac:dyDescent="0.25">
      <c r="B513" s="266"/>
      <c r="X513" s="154"/>
      <c r="Y513" s="165"/>
      <c r="Z513" s="6"/>
      <c r="AA513" s="6"/>
      <c r="AB513" s="6"/>
      <c r="AC513" s="6"/>
    </row>
    <row r="514" spans="2:29" customFormat="1" x14ac:dyDescent="0.25">
      <c r="B514" s="266"/>
      <c r="X514" s="154"/>
      <c r="Y514" s="165"/>
      <c r="Z514" s="6"/>
      <c r="AA514" s="6"/>
      <c r="AB514" s="6"/>
      <c r="AC514" s="6"/>
    </row>
    <row r="515" spans="2:29" customFormat="1" x14ac:dyDescent="0.25">
      <c r="B515" s="266"/>
      <c r="X515" s="154"/>
      <c r="Y515" s="165"/>
      <c r="Z515" s="6"/>
      <c r="AA515" s="6"/>
      <c r="AB515" s="6"/>
      <c r="AC515" s="6"/>
    </row>
    <row r="516" spans="2:29" customFormat="1" x14ac:dyDescent="0.25">
      <c r="B516" s="266"/>
      <c r="X516" s="154"/>
      <c r="Y516" s="165"/>
      <c r="Z516" s="6"/>
      <c r="AA516" s="6"/>
      <c r="AB516" s="6"/>
      <c r="AC516" s="6"/>
    </row>
    <row r="517" spans="2:29" customFormat="1" x14ac:dyDescent="0.25">
      <c r="B517" s="266"/>
      <c r="X517" s="154"/>
      <c r="Y517" s="165"/>
      <c r="Z517" s="6"/>
      <c r="AA517" s="6"/>
      <c r="AB517" s="6"/>
      <c r="AC517" s="6"/>
    </row>
    <row r="518" spans="2:29" customFormat="1" x14ac:dyDescent="0.25">
      <c r="B518" s="266"/>
      <c r="X518" s="154"/>
      <c r="Y518" s="165"/>
      <c r="Z518" s="6"/>
      <c r="AA518" s="6"/>
      <c r="AB518" s="6"/>
      <c r="AC518" s="6"/>
    </row>
    <row r="519" spans="2:29" customFormat="1" x14ac:dyDescent="0.25">
      <c r="B519" s="266"/>
      <c r="X519" s="154"/>
      <c r="Y519" s="165"/>
      <c r="Z519" s="6"/>
      <c r="AA519" s="6"/>
      <c r="AB519" s="6"/>
      <c r="AC519" s="6"/>
    </row>
    <row r="520" spans="2:29" customFormat="1" x14ac:dyDescent="0.25">
      <c r="B520" s="266"/>
      <c r="X520" s="154"/>
      <c r="Y520" s="165"/>
      <c r="Z520" s="6"/>
      <c r="AA520" s="6"/>
      <c r="AB520" s="6"/>
      <c r="AC520" s="6"/>
    </row>
    <row r="521" spans="2:29" customFormat="1" x14ac:dyDescent="0.25">
      <c r="B521" s="266"/>
      <c r="X521" s="154"/>
      <c r="Y521" s="165"/>
      <c r="Z521" s="6"/>
      <c r="AA521" s="6"/>
      <c r="AB521" s="6"/>
      <c r="AC521" s="6"/>
    </row>
    <row r="522" spans="2:29" customFormat="1" x14ac:dyDescent="0.25">
      <c r="B522" s="266"/>
      <c r="X522" s="154"/>
      <c r="Y522" s="165"/>
      <c r="Z522" s="6"/>
      <c r="AA522" s="6"/>
      <c r="AB522" s="6"/>
      <c r="AC522" s="6"/>
    </row>
    <row r="523" spans="2:29" customFormat="1" x14ac:dyDescent="0.25">
      <c r="B523" s="266"/>
      <c r="X523" s="154"/>
      <c r="Y523" s="165"/>
      <c r="Z523" s="6"/>
      <c r="AA523" s="6"/>
      <c r="AB523" s="6"/>
      <c r="AC523" s="6"/>
    </row>
    <row r="524" spans="2:29" customFormat="1" x14ac:dyDescent="0.25">
      <c r="B524" s="266"/>
      <c r="X524" s="154"/>
      <c r="Y524" s="165"/>
      <c r="Z524" s="6"/>
      <c r="AA524" s="6"/>
      <c r="AB524" s="6"/>
      <c r="AC524" s="6"/>
    </row>
    <row r="525" spans="2:29" customFormat="1" x14ac:dyDescent="0.25">
      <c r="B525" s="266"/>
      <c r="X525" s="154"/>
      <c r="Y525" s="165"/>
      <c r="Z525" s="6"/>
      <c r="AA525" s="6"/>
      <c r="AB525" s="6"/>
      <c r="AC525" s="6"/>
    </row>
    <row r="526" spans="2:29" customFormat="1" x14ac:dyDescent="0.25">
      <c r="B526" s="266"/>
      <c r="X526" s="154"/>
      <c r="Y526" s="165"/>
      <c r="Z526" s="6"/>
      <c r="AA526" s="6"/>
      <c r="AB526" s="6"/>
      <c r="AC526" s="6"/>
    </row>
    <row r="527" spans="2:29" customFormat="1" x14ac:dyDescent="0.25">
      <c r="B527" s="266"/>
      <c r="X527" s="154"/>
      <c r="Y527" s="165"/>
      <c r="Z527" s="6"/>
      <c r="AA527" s="6"/>
      <c r="AB527" s="6"/>
      <c r="AC527" s="6"/>
    </row>
    <row r="528" spans="2:29" customFormat="1" x14ac:dyDescent="0.25">
      <c r="B528" s="266"/>
      <c r="X528" s="154"/>
      <c r="Y528" s="165"/>
      <c r="Z528" s="6"/>
      <c r="AA528" s="6"/>
      <c r="AB528" s="6"/>
      <c r="AC528" s="6"/>
    </row>
    <row r="529" spans="2:29" customFormat="1" x14ac:dyDescent="0.25">
      <c r="B529" s="266"/>
      <c r="X529" s="154"/>
      <c r="Y529" s="165"/>
      <c r="Z529" s="6"/>
      <c r="AA529" s="6"/>
      <c r="AB529" s="6"/>
      <c r="AC529" s="6"/>
    </row>
    <row r="530" spans="2:29" customFormat="1" x14ac:dyDescent="0.25">
      <c r="B530" s="266"/>
      <c r="X530" s="154"/>
      <c r="Y530" s="165"/>
      <c r="Z530" s="6"/>
      <c r="AA530" s="6"/>
      <c r="AB530" s="6"/>
      <c r="AC530" s="6"/>
    </row>
    <row r="531" spans="2:29" customFormat="1" x14ac:dyDescent="0.25">
      <c r="B531" s="266"/>
      <c r="X531" s="154"/>
      <c r="Y531" s="165"/>
      <c r="Z531" s="6"/>
      <c r="AA531" s="6"/>
      <c r="AB531" s="6"/>
      <c r="AC531" s="6"/>
    </row>
    <row r="532" spans="2:29" customFormat="1" x14ac:dyDescent="0.25">
      <c r="B532" s="266"/>
      <c r="X532" s="154"/>
      <c r="Y532" s="165"/>
      <c r="Z532" s="6"/>
      <c r="AA532" s="6"/>
      <c r="AB532" s="6"/>
      <c r="AC532" s="6"/>
    </row>
    <row r="533" spans="2:29" customFormat="1" x14ac:dyDescent="0.25">
      <c r="B533" s="266"/>
      <c r="X533" s="154"/>
      <c r="Y533" s="165"/>
      <c r="Z533" s="6"/>
      <c r="AA533" s="6"/>
      <c r="AB533" s="6"/>
      <c r="AC533" s="6"/>
    </row>
    <row r="534" spans="2:29" customFormat="1" x14ac:dyDescent="0.25">
      <c r="B534" s="266"/>
      <c r="X534" s="154"/>
      <c r="Y534" s="165"/>
      <c r="Z534" s="6"/>
      <c r="AA534" s="6"/>
      <c r="AB534" s="6"/>
      <c r="AC534" s="6"/>
    </row>
    <row r="535" spans="2:29" customFormat="1" x14ac:dyDescent="0.25">
      <c r="B535" s="266"/>
      <c r="X535" s="154"/>
      <c r="Y535" s="165"/>
      <c r="Z535" s="6"/>
      <c r="AA535" s="6"/>
      <c r="AB535" s="6"/>
      <c r="AC535" s="6"/>
    </row>
    <row r="536" spans="2:29" customFormat="1" x14ac:dyDescent="0.25">
      <c r="B536" s="266"/>
      <c r="X536" s="154"/>
      <c r="Y536" s="165"/>
      <c r="Z536" s="6"/>
      <c r="AA536" s="6"/>
      <c r="AB536" s="6"/>
      <c r="AC536" s="6"/>
    </row>
    <row r="537" spans="2:29" customFormat="1" x14ac:dyDescent="0.25">
      <c r="B537" s="266"/>
      <c r="X537" s="154"/>
      <c r="Y537" s="165"/>
      <c r="Z537" s="6"/>
      <c r="AA537" s="6"/>
      <c r="AB537" s="6"/>
      <c r="AC537" s="6"/>
    </row>
    <row r="538" spans="2:29" customFormat="1" x14ac:dyDescent="0.25">
      <c r="B538" s="266"/>
      <c r="X538" s="154"/>
      <c r="Y538" s="165"/>
      <c r="Z538" s="6"/>
      <c r="AA538" s="6"/>
      <c r="AB538" s="6"/>
      <c r="AC538" s="6"/>
    </row>
    <row r="539" spans="2:29" customFormat="1" x14ac:dyDescent="0.25">
      <c r="B539" s="266"/>
      <c r="X539" s="154"/>
      <c r="Y539" s="165"/>
      <c r="Z539" s="6"/>
      <c r="AA539" s="6"/>
      <c r="AB539" s="6"/>
      <c r="AC539" s="6"/>
    </row>
    <row r="540" spans="2:29" customFormat="1" x14ac:dyDescent="0.25">
      <c r="B540" s="266"/>
      <c r="X540" s="154"/>
      <c r="Y540" s="165"/>
      <c r="Z540" s="6"/>
      <c r="AA540" s="6"/>
      <c r="AB540" s="6"/>
      <c r="AC540" s="6"/>
    </row>
    <row r="541" spans="2:29" customFormat="1" x14ac:dyDescent="0.25">
      <c r="B541" s="266"/>
      <c r="X541" s="154"/>
      <c r="Y541" s="165"/>
      <c r="Z541" s="6"/>
      <c r="AA541" s="6"/>
      <c r="AB541" s="6"/>
      <c r="AC541" s="6"/>
    </row>
    <row r="542" spans="2:29" customFormat="1" x14ac:dyDescent="0.25">
      <c r="B542" s="266"/>
      <c r="X542" s="154"/>
      <c r="Y542" s="165"/>
      <c r="Z542" s="6"/>
      <c r="AA542" s="6"/>
      <c r="AB542" s="6"/>
      <c r="AC542" s="6"/>
    </row>
    <row r="543" spans="2:29" customFormat="1" x14ac:dyDescent="0.25">
      <c r="B543" s="266"/>
      <c r="X543" s="154"/>
      <c r="Y543" s="165"/>
      <c r="Z543" s="6"/>
      <c r="AA543" s="6"/>
      <c r="AB543" s="6"/>
      <c r="AC543" s="6"/>
    </row>
    <row r="544" spans="2:29" customFormat="1" x14ac:dyDescent="0.25">
      <c r="B544" s="266"/>
      <c r="X544" s="154"/>
      <c r="Y544" s="165"/>
      <c r="Z544" s="6"/>
      <c r="AA544" s="6"/>
      <c r="AB544" s="6"/>
      <c r="AC544" s="6"/>
    </row>
    <row r="545" spans="2:29" customFormat="1" x14ac:dyDescent="0.25">
      <c r="B545" s="266"/>
      <c r="X545" s="154"/>
      <c r="Y545" s="165"/>
      <c r="Z545" s="6"/>
      <c r="AA545" s="6"/>
      <c r="AB545" s="6"/>
      <c r="AC545" s="6"/>
    </row>
    <row r="546" spans="2:29" customFormat="1" x14ac:dyDescent="0.25">
      <c r="B546" s="266"/>
      <c r="X546" s="154"/>
      <c r="Y546" s="165"/>
      <c r="Z546" s="6"/>
      <c r="AA546" s="6"/>
      <c r="AB546" s="6"/>
      <c r="AC546" s="6"/>
    </row>
    <row r="547" spans="2:29" customFormat="1" x14ac:dyDescent="0.25">
      <c r="B547" s="266"/>
      <c r="X547" s="154"/>
      <c r="Y547" s="165"/>
      <c r="Z547" s="6"/>
      <c r="AA547" s="6"/>
      <c r="AB547" s="6"/>
      <c r="AC547" s="6"/>
    </row>
    <row r="548" spans="2:29" customFormat="1" x14ac:dyDescent="0.25">
      <c r="B548" s="266"/>
      <c r="X548" s="154"/>
      <c r="Y548" s="165"/>
      <c r="Z548" s="6"/>
      <c r="AA548" s="6"/>
      <c r="AB548" s="6"/>
      <c r="AC548" s="6"/>
    </row>
    <row r="549" spans="2:29" customFormat="1" x14ac:dyDescent="0.25">
      <c r="B549" s="266"/>
      <c r="X549" s="154"/>
      <c r="Y549" s="165"/>
      <c r="Z549" s="6"/>
      <c r="AA549" s="6"/>
      <c r="AB549" s="6"/>
      <c r="AC549" s="6"/>
    </row>
    <row r="550" spans="2:29" customFormat="1" x14ac:dyDescent="0.25">
      <c r="B550" s="266"/>
      <c r="X550" s="154"/>
      <c r="Y550" s="165"/>
      <c r="Z550" s="6"/>
      <c r="AA550" s="6"/>
      <c r="AB550" s="6"/>
      <c r="AC550" s="6"/>
    </row>
    <row r="551" spans="2:29" customFormat="1" x14ac:dyDescent="0.25">
      <c r="B551" s="266"/>
      <c r="X551" s="154"/>
      <c r="Y551" s="165"/>
      <c r="Z551" s="6"/>
      <c r="AA551" s="6"/>
      <c r="AB551" s="6"/>
      <c r="AC551" s="6"/>
    </row>
    <row r="552" spans="2:29" customFormat="1" x14ac:dyDescent="0.25">
      <c r="B552" s="266"/>
      <c r="X552" s="154"/>
      <c r="Y552" s="165"/>
      <c r="Z552" s="6"/>
      <c r="AA552" s="6"/>
      <c r="AB552" s="6"/>
      <c r="AC552" s="6"/>
    </row>
    <row r="553" spans="2:29" customFormat="1" x14ac:dyDescent="0.25">
      <c r="B553" s="266"/>
      <c r="X553" s="154"/>
      <c r="Y553" s="165"/>
      <c r="Z553" s="6"/>
      <c r="AA553" s="6"/>
      <c r="AB553" s="6"/>
      <c r="AC553" s="6"/>
    </row>
    <row r="554" spans="2:29" customFormat="1" x14ac:dyDescent="0.25">
      <c r="B554" s="266"/>
      <c r="X554" s="154"/>
      <c r="Y554" s="165"/>
      <c r="Z554" s="6"/>
      <c r="AA554" s="6"/>
      <c r="AB554" s="6"/>
      <c r="AC554" s="6"/>
    </row>
    <row r="555" spans="2:29" customFormat="1" x14ac:dyDescent="0.25">
      <c r="B555" s="266"/>
      <c r="X555" s="154"/>
      <c r="Y555" s="165"/>
      <c r="Z555" s="6"/>
      <c r="AA555" s="6"/>
      <c r="AB555" s="6"/>
      <c r="AC555" s="6"/>
    </row>
    <row r="556" spans="2:29" customFormat="1" x14ac:dyDescent="0.25">
      <c r="B556" s="266"/>
      <c r="X556" s="154"/>
      <c r="Y556" s="165"/>
      <c r="Z556" s="6"/>
      <c r="AA556" s="6"/>
      <c r="AB556" s="6"/>
      <c r="AC556" s="6"/>
    </row>
    <row r="557" spans="2:29" customFormat="1" x14ac:dyDescent="0.25">
      <c r="B557" s="266"/>
      <c r="X557" s="154"/>
      <c r="Y557" s="165"/>
      <c r="Z557" s="6"/>
      <c r="AA557" s="6"/>
      <c r="AB557" s="6"/>
      <c r="AC557" s="6"/>
    </row>
    <row r="558" spans="2:29" customFormat="1" x14ac:dyDescent="0.25">
      <c r="B558" s="266"/>
      <c r="X558" s="154"/>
      <c r="Y558" s="165"/>
      <c r="Z558" s="6"/>
      <c r="AA558" s="6"/>
      <c r="AB558" s="6"/>
      <c r="AC558" s="6"/>
    </row>
    <row r="559" spans="2:29" customFormat="1" x14ac:dyDescent="0.25">
      <c r="B559" s="266"/>
      <c r="X559" s="154"/>
      <c r="Y559" s="165"/>
      <c r="Z559" s="6"/>
      <c r="AA559" s="6"/>
      <c r="AB559" s="6"/>
      <c r="AC559" s="6"/>
    </row>
    <row r="560" spans="2:29" customFormat="1" x14ac:dyDescent="0.25">
      <c r="B560" s="266"/>
      <c r="X560" s="154"/>
      <c r="Y560" s="165"/>
      <c r="Z560" s="6"/>
      <c r="AA560" s="6"/>
      <c r="AB560" s="6"/>
      <c r="AC560" s="6"/>
    </row>
    <row r="561" spans="2:29" customFormat="1" x14ac:dyDescent="0.25">
      <c r="B561" s="266"/>
      <c r="X561" s="154"/>
      <c r="Y561" s="165"/>
      <c r="Z561" s="6"/>
      <c r="AA561" s="6"/>
      <c r="AB561" s="6"/>
      <c r="AC561" s="6"/>
    </row>
    <row r="562" spans="2:29" customFormat="1" x14ac:dyDescent="0.25">
      <c r="B562" s="266"/>
      <c r="X562" s="154"/>
      <c r="Y562" s="165"/>
      <c r="Z562" s="6"/>
      <c r="AA562" s="6"/>
      <c r="AB562" s="6"/>
      <c r="AC562" s="6"/>
    </row>
    <row r="563" spans="2:29" customFormat="1" x14ac:dyDescent="0.25">
      <c r="B563" s="266"/>
      <c r="X563" s="154"/>
      <c r="Y563" s="165"/>
      <c r="Z563" s="6"/>
      <c r="AA563" s="6"/>
      <c r="AB563" s="6"/>
      <c r="AC563" s="6"/>
    </row>
    <row r="564" spans="2:29" customFormat="1" x14ac:dyDescent="0.25">
      <c r="B564" s="266"/>
      <c r="X564" s="154"/>
      <c r="Y564" s="165"/>
      <c r="Z564" s="6"/>
      <c r="AA564" s="6"/>
      <c r="AB564" s="6"/>
      <c r="AC564" s="6"/>
    </row>
    <row r="565" spans="2:29" customFormat="1" x14ac:dyDescent="0.25">
      <c r="B565" s="266"/>
      <c r="X565" s="154"/>
      <c r="Y565" s="165"/>
      <c r="Z565" s="6"/>
      <c r="AA565" s="6"/>
      <c r="AB565" s="6"/>
      <c r="AC565" s="6"/>
    </row>
    <row r="566" spans="2:29" customFormat="1" x14ac:dyDescent="0.25">
      <c r="B566" s="266"/>
      <c r="X566" s="154"/>
      <c r="Y566" s="165"/>
      <c r="Z566" s="6"/>
      <c r="AA566" s="6"/>
      <c r="AB566" s="6"/>
      <c r="AC566" s="6"/>
    </row>
    <row r="567" spans="2:29" customFormat="1" x14ac:dyDescent="0.25">
      <c r="B567" s="266"/>
      <c r="X567" s="154"/>
      <c r="Y567" s="165"/>
      <c r="Z567" s="6"/>
      <c r="AA567" s="6"/>
      <c r="AB567" s="6"/>
      <c r="AC567" s="6"/>
    </row>
    <row r="568" spans="2:29" customFormat="1" x14ac:dyDescent="0.25">
      <c r="B568" s="266"/>
      <c r="X568" s="154"/>
      <c r="Y568" s="165"/>
      <c r="Z568" s="6"/>
      <c r="AA568" s="6"/>
      <c r="AB568" s="6"/>
      <c r="AC568" s="6"/>
    </row>
    <row r="569" spans="2:29" customFormat="1" x14ac:dyDescent="0.25">
      <c r="B569" s="266"/>
      <c r="X569" s="154"/>
      <c r="Y569" s="165"/>
      <c r="Z569" s="6"/>
      <c r="AA569" s="6"/>
      <c r="AB569" s="6"/>
      <c r="AC569" s="6"/>
    </row>
    <row r="570" spans="2:29" customFormat="1" x14ac:dyDescent="0.25">
      <c r="B570" s="266"/>
      <c r="X570" s="154"/>
      <c r="Y570" s="165"/>
      <c r="Z570" s="6"/>
      <c r="AA570" s="6"/>
      <c r="AB570" s="6"/>
      <c r="AC570" s="6"/>
    </row>
    <row r="571" spans="2:29" customFormat="1" x14ac:dyDescent="0.25">
      <c r="B571" s="266"/>
      <c r="X571" s="154"/>
      <c r="Y571" s="165"/>
      <c r="Z571" s="6"/>
      <c r="AA571" s="6"/>
      <c r="AB571" s="6"/>
      <c r="AC571" s="6"/>
    </row>
    <row r="572" spans="2:29" customFormat="1" x14ac:dyDescent="0.25">
      <c r="B572" s="266"/>
      <c r="X572" s="154"/>
      <c r="Y572" s="165"/>
      <c r="Z572" s="6"/>
      <c r="AA572" s="6"/>
      <c r="AB572" s="6"/>
      <c r="AC572" s="6"/>
    </row>
    <row r="573" spans="2:29" customFormat="1" x14ac:dyDescent="0.25">
      <c r="B573" s="266"/>
      <c r="X573" s="154"/>
      <c r="Y573" s="165"/>
      <c r="Z573" s="6"/>
      <c r="AA573" s="6"/>
      <c r="AB573" s="6"/>
      <c r="AC573" s="6"/>
    </row>
    <row r="574" spans="2:29" customFormat="1" x14ac:dyDescent="0.25">
      <c r="B574" s="266"/>
      <c r="X574" s="154"/>
      <c r="Y574" s="165"/>
      <c r="Z574" s="6"/>
      <c r="AA574" s="6"/>
      <c r="AB574" s="6"/>
      <c r="AC574" s="6"/>
    </row>
    <row r="575" spans="2:29" customFormat="1" x14ac:dyDescent="0.25">
      <c r="B575" s="266"/>
      <c r="X575" s="154"/>
      <c r="Y575" s="165"/>
      <c r="Z575" s="6"/>
      <c r="AA575" s="6"/>
      <c r="AB575" s="6"/>
      <c r="AC575" s="6"/>
    </row>
    <row r="576" spans="2:29" customFormat="1" x14ac:dyDescent="0.25">
      <c r="B576" s="266"/>
      <c r="X576" s="154"/>
      <c r="Y576" s="165"/>
      <c r="Z576" s="6"/>
      <c r="AA576" s="6"/>
      <c r="AB576" s="6"/>
      <c r="AC576" s="6"/>
    </row>
    <row r="577" spans="2:29" customFormat="1" x14ac:dyDescent="0.25">
      <c r="B577" s="266"/>
      <c r="X577" s="154"/>
      <c r="Y577" s="165"/>
      <c r="Z577" s="6"/>
      <c r="AA577" s="6"/>
      <c r="AB577" s="6"/>
      <c r="AC577" s="6"/>
    </row>
    <row r="578" spans="2:29" customFormat="1" x14ac:dyDescent="0.25">
      <c r="B578" s="266"/>
      <c r="X578" s="154"/>
      <c r="Y578" s="165"/>
      <c r="Z578" s="6"/>
      <c r="AA578" s="6"/>
      <c r="AB578" s="6"/>
      <c r="AC578" s="6"/>
    </row>
    <row r="579" spans="2:29" customFormat="1" x14ac:dyDescent="0.25">
      <c r="B579" s="266"/>
      <c r="X579" s="154"/>
      <c r="Y579" s="165"/>
      <c r="Z579" s="6"/>
      <c r="AA579" s="6"/>
      <c r="AB579" s="6"/>
      <c r="AC579" s="6"/>
    </row>
    <row r="580" spans="2:29" customFormat="1" x14ac:dyDescent="0.25">
      <c r="B580" s="266"/>
      <c r="X580" s="154"/>
      <c r="Y580" s="165"/>
      <c r="Z580" s="6"/>
      <c r="AA580" s="6"/>
      <c r="AB580" s="6"/>
      <c r="AC580" s="6"/>
    </row>
    <row r="581" spans="2:29" customFormat="1" x14ac:dyDescent="0.25">
      <c r="B581" s="266"/>
      <c r="X581" s="154"/>
      <c r="Y581" s="165"/>
      <c r="Z581" s="6"/>
      <c r="AA581" s="6"/>
      <c r="AB581" s="6"/>
      <c r="AC581" s="6"/>
    </row>
    <row r="582" spans="2:29" customFormat="1" x14ac:dyDescent="0.25">
      <c r="B582" s="266"/>
      <c r="X582" s="154"/>
      <c r="Y582" s="165"/>
      <c r="Z582" s="6"/>
      <c r="AA582" s="6"/>
      <c r="AB582" s="6"/>
      <c r="AC582" s="6"/>
    </row>
    <row r="583" spans="2:29" customFormat="1" x14ac:dyDescent="0.25">
      <c r="B583" s="266"/>
      <c r="X583" s="154"/>
      <c r="Y583" s="165"/>
      <c r="Z583" s="6"/>
      <c r="AA583" s="6"/>
      <c r="AB583" s="6"/>
      <c r="AC583" s="6"/>
    </row>
    <row r="584" spans="2:29" customFormat="1" x14ac:dyDescent="0.25">
      <c r="B584" s="266"/>
      <c r="X584" s="154"/>
      <c r="Y584" s="165"/>
      <c r="Z584" s="6"/>
      <c r="AA584" s="6"/>
      <c r="AB584" s="6"/>
      <c r="AC584" s="6"/>
    </row>
    <row r="585" spans="2:29" customFormat="1" x14ac:dyDescent="0.25">
      <c r="B585" s="266"/>
      <c r="X585" s="154"/>
      <c r="Y585" s="165"/>
      <c r="Z585" s="6"/>
      <c r="AA585" s="6"/>
      <c r="AB585" s="6"/>
      <c r="AC585" s="6"/>
    </row>
    <row r="586" spans="2:29" customFormat="1" x14ac:dyDescent="0.25">
      <c r="B586" s="266"/>
      <c r="X586" s="154"/>
      <c r="Y586" s="165"/>
      <c r="Z586" s="6"/>
      <c r="AA586" s="6"/>
      <c r="AB586" s="6"/>
      <c r="AC586" s="6"/>
    </row>
    <row r="587" spans="2:29" customFormat="1" x14ac:dyDescent="0.25">
      <c r="B587" s="266"/>
      <c r="X587" s="154"/>
      <c r="Y587" s="165"/>
      <c r="Z587" s="6"/>
      <c r="AA587" s="6"/>
      <c r="AB587" s="6"/>
      <c r="AC587" s="6"/>
    </row>
    <row r="588" spans="2:29" customFormat="1" x14ac:dyDescent="0.25">
      <c r="B588" s="266"/>
      <c r="X588" s="154"/>
      <c r="Y588" s="165"/>
      <c r="Z588" s="6"/>
      <c r="AA588" s="6"/>
      <c r="AB588" s="6"/>
      <c r="AC588" s="6"/>
    </row>
    <row r="589" spans="2:29" customFormat="1" x14ac:dyDescent="0.25">
      <c r="B589" s="266"/>
      <c r="X589" s="154"/>
      <c r="Y589" s="165"/>
      <c r="Z589" s="6"/>
      <c r="AA589" s="6"/>
      <c r="AB589" s="6"/>
      <c r="AC589" s="6"/>
    </row>
    <row r="590" spans="2:29" customFormat="1" x14ac:dyDescent="0.25">
      <c r="B590" s="266"/>
      <c r="X590" s="154"/>
      <c r="Y590" s="165"/>
      <c r="Z590" s="6"/>
      <c r="AA590" s="6"/>
      <c r="AB590" s="6"/>
      <c r="AC590" s="6"/>
    </row>
    <row r="591" spans="2:29" customFormat="1" x14ac:dyDescent="0.25">
      <c r="B591" s="266"/>
      <c r="X591" s="154"/>
      <c r="Y591" s="165"/>
      <c r="Z591" s="6"/>
      <c r="AA591" s="6"/>
      <c r="AB591" s="6"/>
      <c r="AC591" s="6"/>
    </row>
    <row r="592" spans="2:29" customFormat="1" x14ac:dyDescent="0.25">
      <c r="B592" s="266"/>
      <c r="X592" s="154"/>
      <c r="Y592" s="165"/>
      <c r="Z592" s="6"/>
      <c r="AA592" s="6"/>
      <c r="AB592" s="6"/>
      <c r="AC592" s="6"/>
    </row>
    <row r="593" spans="2:29" customFormat="1" x14ac:dyDescent="0.25">
      <c r="B593" s="266"/>
      <c r="X593" s="154"/>
      <c r="Y593" s="165"/>
      <c r="Z593" s="6"/>
      <c r="AA593" s="6"/>
      <c r="AB593" s="6"/>
      <c r="AC593" s="6"/>
    </row>
    <row r="594" spans="2:29" customFormat="1" x14ac:dyDescent="0.25">
      <c r="B594" s="266"/>
      <c r="X594" s="154"/>
      <c r="Y594" s="165"/>
      <c r="Z594" s="6"/>
      <c r="AA594" s="6"/>
      <c r="AB594" s="6"/>
      <c r="AC594" s="6"/>
    </row>
    <row r="595" spans="2:29" customFormat="1" x14ac:dyDescent="0.25">
      <c r="B595" s="266"/>
      <c r="X595" s="154"/>
      <c r="Y595" s="165"/>
      <c r="Z595" s="6"/>
      <c r="AA595" s="6"/>
      <c r="AB595" s="6"/>
      <c r="AC595" s="6"/>
    </row>
    <row r="596" spans="2:29" customFormat="1" x14ac:dyDescent="0.25">
      <c r="B596" s="266"/>
      <c r="X596" s="154"/>
      <c r="Y596" s="165"/>
      <c r="Z596" s="6"/>
      <c r="AA596" s="6"/>
      <c r="AB596" s="6"/>
      <c r="AC596" s="6"/>
    </row>
    <row r="597" spans="2:29" customFormat="1" x14ac:dyDescent="0.25">
      <c r="B597" s="266"/>
      <c r="X597" s="154"/>
      <c r="Y597" s="165"/>
      <c r="Z597" s="6"/>
      <c r="AA597" s="6"/>
      <c r="AB597" s="6"/>
      <c r="AC597" s="6"/>
    </row>
    <row r="598" spans="2:29" customFormat="1" x14ac:dyDescent="0.25">
      <c r="B598" s="266"/>
      <c r="X598" s="154"/>
      <c r="Y598" s="165"/>
      <c r="Z598" s="6"/>
      <c r="AA598" s="6"/>
      <c r="AB598" s="6"/>
      <c r="AC598" s="6"/>
    </row>
    <row r="599" spans="2:29" customFormat="1" x14ac:dyDescent="0.25">
      <c r="B599" s="266"/>
      <c r="X599" s="154"/>
      <c r="Y599" s="165"/>
      <c r="Z599" s="6"/>
      <c r="AA599" s="6"/>
      <c r="AB599" s="6"/>
      <c r="AC599" s="6"/>
    </row>
    <row r="600" spans="2:29" customFormat="1" x14ac:dyDescent="0.25">
      <c r="B600" s="266"/>
      <c r="X600" s="154"/>
      <c r="Y600" s="165"/>
      <c r="Z600" s="6"/>
      <c r="AA600" s="6"/>
      <c r="AB600" s="6"/>
      <c r="AC600" s="6"/>
    </row>
    <row r="601" spans="2:29" customFormat="1" x14ac:dyDescent="0.25">
      <c r="B601" s="266"/>
      <c r="X601" s="154"/>
      <c r="Y601" s="165"/>
      <c r="Z601" s="6"/>
      <c r="AA601" s="6"/>
      <c r="AB601" s="6"/>
      <c r="AC601" s="6"/>
    </row>
    <row r="602" spans="2:29" customFormat="1" x14ac:dyDescent="0.25">
      <c r="B602" s="266"/>
      <c r="X602" s="154"/>
      <c r="Y602" s="165"/>
      <c r="Z602" s="6"/>
      <c r="AA602" s="6"/>
      <c r="AB602" s="6"/>
      <c r="AC602" s="6"/>
    </row>
    <row r="603" spans="2:29" customFormat="1" x14ac:dyDescent="0.25">
      <c r="B603" s="266"/>
      <c r="X603" s="154"/>
      <c r="Y603" s="165"/>
      <c r="Z603" s="6"/>
      <c r="AA603" s="6"/>
      <c r="AB603" s="6"/>
      <c r="AC603" s="6"/>
    </row>
    <row r="604" spans="2:29" customFormat="1" x14ac:dyDescent="0.25">
      <c r="B604" s="266"/>
      <c r="X604" s="154"/>
      <c r="Y604" s="165"/>
      <c r="Z604" s="6"/>
      <c r="AA604" s="6"/>
      <c r="AB604" s="6"/>
      <c r="AC604" s="6"/>
    </row>
    <row r="605" spans="2:29" customFormat="1" x14ac:dyDescent="0.25">
      <c r="B605" s="266"/>
      <c r="X605" s="154"/>
      <c r="Y605" s="165"/>
      <c r="Z605" s="6"/>
      <c r="AA605" s="6"/>
      <c r="AB605" s="6"/>
      <c r="AC605" s="6"/>
    </row>
    <row r="606" spans="2:29" customFormat="1" x14ac:dyDescent="0.25">
      <c r="B606" s="266"/>
      <c r="X606" s="154"/>
      <c r="Y606" s="165"/>
      <c r="Z606" s="6"/>
      <c r="AA606" s="6"/>
      <c r="AB606" s="6"/>
      <c r="AC606" s="6"/>
    </row>
    <row r="607" spans="2:29" customFormat="1" x14ac:dyDescent="0.25">
      <c r="B607" s="266"/>
      <c r="X607" s="154"/>
      <c r="Y607" s="165"/>
      <c r="Z607" s="6"/>
      <c r="AA607" s="6"/>
      <c r="AB607" s="6"/>
      <c r="AC607" s="6"/>
    </row>
    <row r="608" spans="2:29" customFormat="1" x14ac:dyDescent="0.25">
      <c r="B608" s="266"/>
      <c r="X608" s="154"/>
      <c r="Y608" s="165"/>
      <c r="Z608" s="6"/>
      <c r="AA608" s="6"/>
      <c r="AB608" s="6"/>
      <c r="AC608" s="6"/>
    </row>
    <row r="609" spans="2:29" customFormat="1" x14ac:dyDescent="0.25">
      <c r="B609" s="266"/>
      <c r="X609" s="154"/>
      <c r="Y609" s="165"/>
      <c r="Z609" s="6"/>
      <c r="AA609" s="6"/>
      <c r="AB609" s="6"/>
      <c r="AC609" s="6"/>
    </row>
    <row r="610" spans="2:29" customFormat="1" x14ac:dyDescent="0.25">
      <c r="B610" s="266"/>
      <c r="X610" s="154"/>
      <c r="Y610" s="165"/>
      <c r="Z610" s="6"/>
      <c r="AA610" s="6"/>
      <c r="AB610" s="6"/>
      <c r="AC610" s="6"/>
    </row>
    <row r="611" spans="2:29" customFormat="1" x14ac:dyDescent="0.25">
      <c r="B611" s="266"/>
      <c r="X611" s="154"/>
      <c r="Y611" s="165"/>
      <c r="Z611" s="6"/>
      <c r="AA611" s="6"/>
      <c r="AB611" s="6"/>
      <c r="AC611" s="6"/>
    </row>
    <row r="612" spans="2:29" customFormat="1" x14ac:dyDescent="0.25">
      <c r="B612" s="266"/>
      <c r="X612" s="154"/>
      <c r="Y612" s="165"/>
      <c r="Z612" s="6"/>
      <c r="AA612" s="6"/>
      <c r="AB612" s="6"/>
      <c r="AC612" s="6"/>
    </row>
    <row r="613" spans="2:29" customFormat="1" x14ac:dyDescent="0.25">
      <c r="B613" s="266"/>
      <c r="X613" s="154"/>
      <c r="Y613" s="165"/>
      <c r="Z613" s="6"/>
      <c r="AA613" s="6"/>
      <c r="AB613" s="6"/>
      <c r="AC613" s="6"/>
    </row>
    <row r="614" spans="2:29" customFormat="1" x14ac:dyDescent="0.25">
      <c r="B614" s="266"/>
      <c r="X614" s="154"/>
      <c r="Y614" s="165"/>
      <c r="Z614" s="6"/>
      <c r="AA614" s="6"/>
      <c r="AB614" s="6"/>
      <c r="AC614" s="6"/>
    </row>
    <row r="615" spans="2:29" customFormat="1" x14ac:dyDescent="0.25">
      <c r="B615" s="266"/>
      <c r="X615" s="154"/>
      <c r="Y615" s="165"/>
      <c r="Z615" s="6"/>
      <c r="AA615" s="6"/>
      <c r="AB615" s="6"/>
      <c r="AC615" s="6"/>
    </row>
    <row r="616" spans="2:29" customFormat="1" x14ac:dyDescent="0.25">
      <c r="B616" s="266"/>
      <c r="X616" s="154"/>
      <c r="Y616" s="165"/>
      <c r="Z616" s="6"/>
      <c r="AA616" s="6"/>
      <c r="AB616" s="6"/>
      <c r="AC616" s="6"/>
    </row>
    <row r="617" spans="2:29" customFormat="1" x14ac:dyDescent="0.25">
      <c r="B617" s="266"/>
      <c r="X617" s="154"/>
      <c r="Y617" s="165"/>
      <c r="Z617" s="6"/>
      <c r="AA617" s="6"/>
      <c r="AB617" s="6"/>
      <c r="AC617" s="6"/>
    </row>
    <row r="618" spans="2:29" customFormat="1" x14ac:dyDescent="0.25">
      <c r="B618" s="266"/>
      <c r="X618" s="154"/>
      <c r="Y618" s="165"/>
      <c r="Z618" s="6"/>
      <c r="AA618" s="6"/>
      <c r="AB618" s="6"/>
      <c r="AC618" s="6"/>
    </row>
    <row r="619" spans="2:29" customFormat="1" x14ac:dyDescent="0.25">
      <c r="B619" s="266"/>
      <c r="X619" s="154"/>
      <c r="Y619" s="165"/>
      <c r="Z619" s="6"/>
      <c r="AA619" s="6"/>
      <c r="AB619" s="6"/>
      <c r="AC619" s="6"/>
    </row>
    <row r="620" spans="2:29" customFormat="1" x14ac:dyDescent="0.25">
      <c r="B620" s="266"/>
      <c r="X620" s="154"/>
      <c r="Y620" s="165"/>
      <c r="Z620" s="6"/>
      <c r="AA620" s="6"/>
      <c r="AB620" s="6"/>
      <c r="AC620" s="6"/>
    </row>
    <row r="621" spans="2:29" customFormat="1" x14ac:dyDescent="0.25">
      <c r="B621" s="266"/>
      <c r="X621" s="154"/>
      <c r="Y621" s="165"/>
      <c r="Z621" s="6"/>
      <c r="AA621" s="6"/>
      <c r="AB621" s="6"/>
      <c r="AC621" s="6"/>
    </row>
    <row r="622" spans="2:29" customFormat="1" x14ac:dyDescent="0.25">
      <c r="B622" s="266"/>
      <c r="X622" s="154"/>
      <c r="Y622" s="165"/>
      <c r="Z622" s="6"/>
      <c r="AA622" s="6"/>
      <c r="AB622" s="6"/>
      <c r="AC622" s="6"/>
    </row>
    <row r="623" spans="2:29" customFormat="1" x14ac:dyDescent="0.25">
      <c r="B623" s="266"/>
      <c r="X623" s="154"/>
      <c r="Y623" s="165"/>
      <c r="Z623" s="6"/>
      <c r="AA623" s="6"/>
      <c r="AB623" s="6"/>
      <c r="AC623" s="6"/>
    </row>
    <row r="624" spans="2:29" customFormat="1" x14ac:dyDescent="0.25">
      <c r="B624" s="266"/>
      <c r="X624" s="154"/>
      <c r="Y624" s="165"/>
      <c r="Z624" s="6"/>
      <c r="AA624" s="6"/>
      <c r="AB624" s="6"/>
      <c r="AC624" s="6"/>
    </row>
    <row r="625" spans="2:29" customFormat="1" x14ac:dyDescent="0.25">
      <c r="B625" s="266"/>
      <c r="X625" s="154"/>
      <c r="Y625" s="165"/>
      <c r="Z625" s="6"/>
      <c r="AA625" s="6"/>
      <c r="AB625" s="6"/>
      <c r="AC625" s="6"/>
    </row>
    <row r="626" spans="2:29" customFormat="1" x14ac:dyDescent="0.25">
      <c r="B626" s="266"/>
      <c r="X626" s="154"/>
      <c r="Y626" s="165"/>
      <c r="Z626" s="6"/>
      <c r="AA626" s="6"/>
      <c r="AB626" s="6"/>
      <c r="AC626" s="6"/>
    </row>
    <row r="627" spans="2:29" customFormat="1" x14ac:dyDescent="0.25">
      <c r="B627" s="266"/>
      <c r="X627" s="154"/>
      <c r="Y627" s="165"/>
      <c r="Z627" s="6"/>
      <c r="AA627" s="6"/>
      <c r="AB627" s="6"/>
      <c r="AC627" s="6"/>
    </row>
    <row r="628" spans="2:29" customFormat="1" x14ac:dyDescent="0.25">
      <c r="B628" s="266"/>
      <c r="X628" s="154"/>
      <c r="Y628" s="165"/>
      <c r="Z628" s="6"/>
      <c r="AA628" s="6"/>
      <c r="AB628" s="6"/>
      <c r="AC628" s="6"/>
    </row>
    <row r="629" spans="2:29" customFormat="1" x14ac:dyDescent="0.25">
      <c r="B629" s="266"/>
      <c r="X629" s="154"/>
      <c r="Y629" s="165"/>
      <c r="Z629" s="6"/>
      <c r="AA629" s="6"/>
      <c r="AB629" s="6"/>
      <c r="AC629" s="6"/>
    </row>
    <row r="630" spans="2:29" customFormat="1" x14ac:dyDescent="0.25">
      <c r="B630" s="266"/>
      <c r="X630" s="154"/>
      <c r="Y630" s="165"/>
      <c r="Z630" s="6"/>
      <c r="AA630" s="6"/>
      <c r="AB630" s="6"/>
      <c r="AC630" s="6"/>
    </row>
    <row r="631" spans="2:29" customFormat="1" x14ac:dyDescent="0.25">
      <c r="B631" s="266"/>
      <c r="X631" s="154"/>
      <c r="Y631" s="165"/>
      <c r="Z631" s="6"/>
      <c r="AA631" s="6"/>
      <c r="AB631" s="6"/>
      <c r="AC631" s="6"/>
    </row>
    <row r="632" spans="2:29" customFormat="1" x14ac:dyDescent="0.25">
      <c r="B632" s="266"/>
      <c r="X632" s="154"/>
      <c r="Y632" s="165"/>
      <c r="Z632" s="6"/>
      <c r="AA632" s="6"/>
      <c r="AB632" s="6"/>
      <c r="AC632" s="6"/>
    </row>
    <row r="633" spans="2:29" customFormat="1" x14ac:dyDescent="0.25">
      <c r="B633" s="266"/>
      <c r="X633" s="154"/>
      <c r="Y633" s="165"/>
      <c r="Z633" s="6"/>
      <c r="AA633" s="6"/>
      <c r="AB633" s="6"/>
      <c r="AC633" s="6"/>
    </row>
    <row r="634" spans="2:29" customFormat="1" x14ac:dyDescent="0.25">
      <c r="B634" s="266"/>
      <c r="X634" s="154"/>
      <c r="Y634" s="165"/>
      <c r="Z634" s="6"/>
      <c r="AA634" s="6"/>
      <c r="AB634" s="6"/>
      <c r="AC634" s="6"/>
    </row>
    <row r="635" spans="2:29" customFormat="1" x14ac:dyDescent="0.25">
      <c r="B635" s="266"/>
      <c r="X635" s="154"/>
      <c r="Y635" s="165"/>
      <c r="Z635" s="6"/>
      <c r="AA635" s="6"/>
      <c r="AB635" s="6"/>
      <c r="AC635" s="6"/>
    </row>
    <row r="636" spans="2:29" customFormat="1" x14ac:dyDescent="0.25">
      <c r="B636" s="266"/>
      <c r="X636" s="154"/>
      <c r="Y636" s="165"/>
      <c r="Z636" s="6"/>
      <c r="AA636" s="6"/>
      <c r="AB636" s="6"/>
      <c r="AC636" s="6"/>
    </row>
    <row r="637" spans="2:29" customFormat="1" x14ac:dyDescent="0.25">
      <c r="B637" s="266"/>
      <c r="X637" s="154"/>
      <c r="Y637" s="165"/>
      <c r="Z637" s="6"/>
      <c r="AA637" s="6"/>
      <c r="AB637" s="6"/>
      <c r="AC637" s="6"/>
    </row>
    <row r="638" spans="2:29" customFormat="1" x14ac:dyDescent="0.25">
      <c r="B638" s="266"/>
      <c r="X638" s="154"/>
      <c r="Y638" s="165"/>
      <c r="Z638" s="6"/>
      <c r="AA638" s="6"/>
      <c r="AB638" s="6"/>
      <c r="AC638" s="6"/>
    </row>
    <row r="639" spans="2:29" customFormat="1" x14ac:dyDescent="0.25">
      <c r="B639" s="266"/>
      <c r="X639" s="154"/>
      <c r="Y639" s="165"/>
      <c r="Z639" s="6"/>
      <c r="AA639" s="6"/>
      <c r="AB639" s="6"/>
      <c r="AC639" s="6"/>
    </row>
    <row r="640" spans="2:29" customFormat="1" x14ac:dyDescent="0.25">
      <c r="B640" s="266"/>
      <c r="X640" s="154"/>
      <c r="Y640" s="165"/>
      <c r="Z640" s="6"/>
      <c r="AA640" s="6"/>
      <c r="AB640" s="6"/>
      <c r="AC640" s="6"/>
    </row>
    <row r="641" spans="2:29" customFormat="1" x14ac:dyDescent="0.25">
      <c r="B641" s="266"/>
      <c r="X641" s="154"/>
      <c r="Y641" s="165"/>
      <c r="Z641" s="6"/>
      <c r="AA641" s="6"/>
      <c r="AB641" s="6"/>
      <c r="AC641" s="6"/>
    </row>
    <row r="642" spans="2:29" customFormat="1" x14ac:dyDescent="0.25">
      <c r="B642" s="266"/>
      <c r="X642" s="154"/>
      <c r="Y642" s="165"/>
      <c r="Z642" s="6"/>
      <c r="AA642" s="6"/>
      <c r="AB642" s="6"/>
      <c r="AC642" s="6"/>
    </row>
    <row r="643" spans="2:29" customFormat="1" x14ac:dyDescent="0.25">
      <c r="B643" s="266"/>
      <c r="X643" s="154"/>
      <c r="Y643" s="165"/>
      <c r="Z643" s="6"/>
      <c r="AA643" s="6"/>
      <c r="AB643" s="6"/>
      <c r="AC643" s="6"/>
    </row>
    <row r="644" spans="2:29" customFormat="1" x14ac:dyDescent="0.25">
      <c r="B644" s="266"/>
      <c r="X644" s="154"/>
      <c r="Y644" s="165"/>
      <c r="Z644" s="6"/>
      <c r="AA644" s="6"/>
      <c r="AB644" s="6"/>
      <c r="AC644" s="6"/>
    </row>
    <row r="645" spans="2:29" customFormat="1" x14ac:dyDescent="0.25">
      <c r="B645" s="266"/>
      <c r="X645" s="154"/>
      <c r="Y645" s="165"/>
      <c r="Z645" s="6"/>
      <c r="AA645" s="6"/>
      <c r="AB645" s="6"/>
      <c r="AC645" s="6"/>
    </row>
    <row r="646" spans="2:29" customFormat="1" x14ac:dyDescent="0.25">
      <c r="B646" s="266"/>
      <c r="X646" s="154"/>
      <c r="Y646" s="165"/>
      <c r="Z646" s="6"/>
      <c r="AA646" s="6"/>
      <c r="AB646" s="6"/>
      <c r="AC646" s="6"/>
    </row>
    <row r="647" spans="2:29" customFormat="1" x14ac:dyDescent="0.25">
      <c r="B647" s="266"/>
      <c r="X647" s="154"/>
      <c r="Y647" s="165"/>
      <c r="Z647" s="6"/>
      <c r="AA647" s="6"/>
      <c r="AB647" s="6"/>
      <c r="AC647" s="6"/>
    </row>
    <row r="648" spans="2:29" customFormat="1" x14ac:dyDescent="0.25">
      <c r="B648" s="266"/>
      <c r="X648" s="154"/>
      <c r="Y648" s="165"/>
      <c r="Z648" s="6"/>
      <c r="AA648" s="6"/>
      <c r="AB648" s="6"/>
      <c r="AC648" s="6"/>
    </row>
    <row r="649" spans="2:29" customFormat="1" x14ac:dyDescent="0.25">
      <c r="B649" s="266"/>
      <c r="X649" s="154"/>
      <c r="Y649" s="165"/>
      <c r="Z649" s="6"/>
      <c r="AA649" s="6"/>
      <c r="AB649" s="6"/>
      <c r="AC649" s="6"/>
    </row>
    <row r="650" spans="2:29" customFormat="1" x14ac:dyDescent="0.25">
      <c r="B650" s="266"/>
      <c r="X650" s="154"/>
      <c r="Y650" s="165"/>
      <c r="Z650" s="6"/>
      <c r="AA650" s="6"/>
      <c r="AB650" s="6"/>
      <c r="AC650" s="6"/>
    </row>
    <row r="651" spans="2:29" customFormat="1" x14ac:dyDescent="0.25">
      <c r="B651" s="266"/>
      <c r="X651" s="154"/>
      <c r="Y651" s="165"/>
      <c r="Z651" s="6"/>
      <c r="AA651" s="6"/>
      <c r="AB651" s="6"/>
      <c r="AC651" s="6"/>
    </row>
    <row r="652" spans="2:29" customFormat="1" x14ac:dyDescent="0.25">
      <c r="B652" s="266"/>
      <c r="X652" s="154"/>
      <c r="Y652" s="165"/>
      <c r="Z652" s="6"/>
      <c r="AA652" s="6"/>
      <c r="AB652" s="6"/>
      <c r="AC652" s="6"/>
    </row>
    <row r="653" spans="2:29" customFormat="1" x14ac:dyDescent="0.25">
      <c r="B653" s="266"/>
      <c r="X653" s="154"/>
      <c r="Y653" s="165"/>
      <c r="Z653" s="6"/>
      <c r="AA653" s="6"/>
      <c r="AB653" s="6"/>
      <c r="AC653" s="6"/>
    </row>
    <row r="654" spans="2:29" customFormat="1" x14ac:dyDescent="0.25">
      <c r="B654" s="266"/>
      <c r="X654" s="154"/>
      <c r="Y654" s="165"/>
      <c r="Z654" s="6"/>
      <c r="AA654" s="6"/>
      <c r="AB654" s="6"/>
      <c r="AC654" s="6"/>
    </row>
    <row r="655" spans="2:29" customFormat="1" x14ac:dyDescent="0.25">
      <c r="B655" s="266"/>
      <c r="X655" s="154"/>
      <c r="Y655" s="165"/>
      <c r="Z655" s="6"/>
      <c r="AA655" s="6"/>
      <c r="AB655" s="6"/>
      <c r="AC655" s="6"/>
    </row>
    <row r="656" spans="2:29" customFormat="1" x14ac:dyDescent="0.25">
      <c r="B656" s="266"/>
      <c r="X656" s="154"/>
      <c r="Y656" s="165"/>
      <c r="Z656" s="6"/>
      <c r="AA656" s="6"/>
      <c r="AB656" s="6"/>
      <c r="AC656" s="6"/>
    </row>
    <row r="657" spans="2:29" customFormat="1" x14ac:dyDescent="0.25">
      <c r="B657" s="266"/>
      <c r="X657" s="154"/>
      <c r="Y657" s="165"/>
      <c r="Z657" s="6"/>
      <c r="AA657" s="6"/>
      <c r="AB657" s="6"/>
      <c r="AC657" s="6"/>
    </row>
    <row r="658" spans="2:29" customFormat="1" x14ac:dyDescent="0.25">
      <c r="B658" s="266"/>
      <c r="X658" s="154"/>
      <c r="Y658" s="165"/>
      <c r="Z658" s="6"/>
      <c r="AA658" s="6"/>
      <c r="AB658" s="6"/>
      <c r="AC658" s="6"/>
    </row>
    <row r="659" spans="2:29" customFormat="1" x14ac:dyDescent="0.25">
      <c r="B659" s="266"/>
      <c r="X659" s="154"/>
      <c r="Y659" s="165"/>
      <c r="Z659" s="6"/>
      <c r="AA659" s="6"/>
      <c r="AB659" s="6"/>
      <c r="AC659" s="6"/>
    </row>
    <row r="660" spans="2:29" customFormat="1" x14ac:dyDescent="0.25">
      <c r="B660" s="266"/>
      <c r="X660" s="154"/>
      <c r="Y660" s="165"/>
      <c r="Z660" s="6"/>
      <c r="AA660" s="6"/>
      <c r="AB660" s="6"/>
      <c r="AC660" s="6"/>
    </row>
    <row r="661" spans="2:29" customFormat="1" x14ac:dyDescent="0.25">
      <c r="B661" s="266"/>
      <c r="X661" s="154"/>
      <c r="Y661" s="165"/>
      <c r="Z661" s="6"/>
      <c r="AA661" s="6"/>
      <c r="AB661" s="6"/>
      <c r="AC661" s="6"/>
    </row>
    <row r="662" spans="2:29" customFormat="1" x14ac:dyDescent="0.25">
      <c r="B662" s="266"/>
      <c r="X662" s="154"/>
      <c r="Y662" s="165"/>
      <c r="Z662" s="6"/>
      <c r="AA662" s="6"/>
      <c r="AB662" s="6"/>
      <c r="AC662" s="6"/>
    </row>
    <row r="663" spans="2:29" customFormat="1" x14ac:dyDescent="0.25">
      <c r="B663" s="266"/>
      <c r="X663" s="154"/>
      <c r="Y663" s="165"/>
      <c r="Z663" s="6"/>
      <c r="AA663" s="6"/>
      <c r="AB663" s="6"/>
      <c r="AC663" s="6"/>
    </row>
    <row r="664" spans="2:29" customFormat="1" x14ac:dyDescent="0.25">
      <c r="B664" s="266"/>
      <c r="X664" s="154"/>
      <c r="Y664" s="165"/>
      <c r="Z664" s="6"/>
      <c r="AA664" s="6"/>
      <c r="AB664" s="6"/>
      <c r="AC664" s="6"/>
    </row>
    <row r="665" spans="2:29" customFormat="1" x14ac:dyDescent="0.25">
      <c r="B665" s="266"/>
      <c r="X665" s="154"/>
      <c r="Y665" s="165"/>
      <c r="Z665" s="6"/>
      <c r="AA665" s="6"/>
      <c r="AB665" s="6"/>
      <c r="AC665" s="6"/>
    </row>
    <row r="666" spans="2:29" customFormat="1" x14ac:dyDescent="0.25">
      <c r="B666" s="266"/>
      <c r="X666" s="154"/>
      <c r="Y666" s="165"/>
      <c r="Z666" s="6"/>
      <c r="AA666" s="6"/>
      <c r="AB666" s="6"/>
      <c r="AC666" s="6"/>
    </row>
    <row r="667" spans="2:29" customFormat="1" x14ac:dyDescent="0.25">
      <c r="B667" s="266"/>
      <c r="X667" s="154"/>
      <c r="Y667" s="165"/>
      <c r="Z667" s="6"/>
      <c r="AA667" s="6"/>
      <c r="AB667" s="6"/>
      <c r="AC667" s="6"/>
    </row>
    <row r="668" spans="2:29" customFormat="1" x14ac:dyDescent="0.25">
      <c r="B668" s="266"/>
      <c r="X668" s="154"/>
      <c r="Y668" s="165"/>
      <c r="Z668" s="6"/>
      <c r="AA668" s="6"/>
      <c r="AB668" s="6"/>
      <c r="AC668" s="6"/>
    </row>
    <row r="669" spans="2:29" customFormat="1" x14ac:dyDescent="0.25">
      <c r="B669" s="266"/>
      <c r="X669" s="154"/>
      <c r="Y669" s="165"/>
      <c r="Z669" s="6"/>
      <c r="AA669" s="6"/>
      <c r="AB669" s="6"/>
      <c r="AC669" s="6"/>
    </row>
    <row r="670" spans="2:29" customFormat="1" x14ac:dyDescent="0.25">
      <c r="B670" s="266"/>
      <c r="X670" s="154"/>
      <c r="Y670" s="165"/>
      <c r="Z670" s="6"/>
      <c r="AA670" s="6"/>
      <c r="AB670" s="6"/>
      <c r="AC670" s="6"/>
    </row>
    <row r="671" spans="2:29" customFormat="1" x14ac:dyDescent="0.25">
      <c r="B671" s="266"/>
      <c r="X671" s="154"/>
      <c r="Y671" s="165"/>
      <c r="Z671" s="6"/>
      <c r="AA671" s="6"/>
      <c r="AB671" s="6"/>
      <c r="AC671" s="6"/>
    </row>
    <row r="672" spans="2:29" customFormat="1" x14ac:dyDescent="0.25">
      <c r="B672" s="266"/>
      <c r="X672" s="154"/>
      <c r="Y672" s="165"/>
      <c r="Z672" s="6"/>
      <c r="AA672" s="6"/>
      <c r="AB672" s="6"/>
      <c r="AC672" s="6"/>
    </row>
    <row r="673" spans="2:29" customFormat="1" x14ac:dyDescent="0.25">
      <c r="B673" s="266"/>
      <c r="X673" s="154"/>
      <c r="Y673" s="165"/>
      <c r="Z673" s="6"/>
      <c r="AA673" s="6"/>
      <c r="AB673" s="6"/>
      <c r="AC673" s="6"/>
    </row>
    <row r="674" spans="2:29" customFormat="1" x14ac:dyDescent="0.25">
      <c r="B674" s="266"/>
      <c r="X674" s="154"/>
      <c r="Y674" s="165"/>
      <c r="Z674" s="6"/>
      <c r="AA674" s="6"/>
      <c r="AB674" s="6"/>
      <c r="AC674" s="6"/>
    </row>
    <row r="675" spans="2:29" customFormat="1" x14ac:dyDescent="0.25">
      <c r="B675" s="266"/>
      <c r="X675" s="154"/>
      <c r="Y675" s="165"/>
      <c r="Z675" s="6"/>
      <c r="AA675" s="6"/>
      <c r="AB675" s="6"/>
      <c r="AC675" s="6"/>
    </row>
    <row r="676" spans="2:29" customFormat="1" x14ac:dyDescent="0.25">
      <c r="B676" s="266"/>
      <c r="X676" s="154"/>
      <c r="Y676" s="165"/>
      <c r="Z676" s="6"/>
      <c r="AA676" s="6"/>
      <c r="AB676" s="6"/>
      <c r="AC676" s="6"/>
    </row>
    <row r="677" spans="2:29" customFormat="1" x14ac:dyDescent="0.25">
      <c r="B677" s="266"/>
      <c r="X677" s="154"/>
      <c r="Y677" s="165"/>
      <c r="Z677" s="6"/>
      <c r="AA677" s="6"/>
      <c r="AB677" s="6"/>
      <c r="AC677" s="6"/>
    </row>
    <row r="678" spans="2:29" customFormat="1" x14ac:dyDescent="0.25">
      <c r="B678" s="266"/>
      <c r="X678" s="154"/>
      <c r="Y678" s="165"/>
      <c r="Z678" s="6"/>
      <c r="AA678" s="6"/>
      <c r="AB678" s="6"/>
      <c r="AC678" s="6"/>
    </row>
    <row r="679" spans="2:29" customFormat="1" x14ac:dyDescent="0.25">
      <c r="B679" s="266"/>
      <c r="X679" s="154"/>
      <c r="Y679" s="165"/>
      <c r="Z679" s="6"/>
      <c r="AA679" s="6"/>
      <c r="AB679" s="6"/>
      <c r="AC679" s="6"/>
    </row>
    <row r="680" spans="2:29" customFormat="1" x14ac:dyDescent="0.25">
      <c r="B680" s="266"/>
      <c r="X680" s="154"/>
      <c r="Y680" s="165"/>
      <c r="Z680" s="6"/>
      <c r="AA680" s="6"/>
      <c r="AB680" s="6"/>
      <c r="AC680" s="6"/>
    </row>
    <row r="681" spans="2:29" customFormat="1" x14ac:dyDescent="0.25">
      <c r="B681" s="266"/>
      <c r="X681" s="154"/>
      <c r="Y681" s="165"/>
      <c r="Z681" s="6"/>
      <c r="AA681" s="6"/>
      <c r="AB681" s="6"/>
      <c r="AC681" s="6"/>
    </row>
    <row r="682" spans="2:29" customFormat="1" x14ac:dyDescent="0.25">
      <c r="B682" s="266"/>
      <c r="X682" s="154"/>
      <c r="Y682" s="165"/>
      <c r="Z682" s="6"/>
      <c r="AA682" s="6"/>
      <c r="AB682" s="6"/>
      <c r="AC682" s="6"/>
    </row>
    <row r="683" spans="2:29" customFormat="1" x14ac:dyDescent="0.25">
      <c r="B683" s="266"/>
      <c r="X683" s="154"/>
      <c r="Y683" s="165"/>
      <c r="Z683" s="6"/>
      <c r="AA683" s="6"/>
      <c r="AB683" s="6"/>
      <c r="AC683" s="6"/>
    </row>
    <row r="684" spans="2:29" customFormat="1" x14ac:dyDescent="0.25">
      <c r="B684" s="266"/>
      <c r="X684" s="154"/>
      <c r="Y684" s="165"/>
      <c r="Z684" s="6"/>
      <c r="AA684" s="6"/>
      <c r="AB684" s="6"/>
      <c r="AC684" s="6"/>
    </row>
    <row r="685" spans="2:29" customFormat="1" x14ac:dyDescent="0.25">
      <c r="B685" s="266"/>
      <c r="X685" s="154"/>
      <c r="Y685" s="165"/>
      <c r="Z685" s="6"/>
      <c r="AA685" s="6"/>
      <c r="AB685" s="6"/>
      <c r="AC685" s="6"/>
    </row>
    <row r="686" spans="2:29" customFormat="1" x14ac:dyDescent="0.25">
      <c r="B686" s="266"/>
      <c r="X686" s="154"/>
      <c r="Y686" s="165"/>
      <c r="Z686" s="6"/>
      <c r="AA686" s="6"/>
      <c r="AB686" s="6"/>
      <c r="AC686" s="6"/>
    </row>
    <row r="687" spans="2:29" customFormat="1" x14ac:dyDescent="0.25">
      <c r="B687" s="266"/>
      <c r="X687" s="154"/>
      <c r="Y687" s="165"/>
      <c r="Z687" s="6"/>
      <c r="AA687" s="6"/>
      <c r="AB687" s="6"/>
      <c r="AC687" s="6"/>
    </row>
    <row r="688" spans="2:29" customFormat="1" x14ac:dyDescent="0.25">
      <c r="B688" s="266"/>
      <c r="X688" s="154"/>
      <c r="Y688" s="165"/>
      <c r="Z688" s="6"/>
      <c r="AA688" s="6"/>
      <c r="AB688" s="6"/>
      <c r="AC688" s="6"/>
    </row>
    <row r="689" spans="2:29" customFormat="1" x14ac:dyDescent="0.25">
      <c r="B689" s="266"/>
      <c r="X689" s="154"/>
      <c r="Y689" s="165"/>
      <c r="Z689" s="6"/>
      <c r="AA689" s="6"/>
      <c r="AB689" s="6"/>
      <c r="AC689" s="6"/>
    </row>
    <row r="690" spans="2:29" customFormat="1" x14ac:dyDescent="0.25">
      <c r="B690" s="266"/>
      <c r="X690" s="154"/>
      <c r="Y690" s="165"/>
      <c r="Z690" s="6"/>
      <c r="AA690" s="6"/>
      <c r="AB690" s="6"/>
      <c r="AC690" s="6"/>
    </row>
    <row r="691" spans="2:29" customFormat="1" x14ac:dyDescent="0.25">
      <c r="B691" s="266"/>
      <c r="X691" s="154"/>
      <c r="Y691" s="165"/>
      <c r="Z691" s="6"/>
      <c r="AA691" s="6"/>
      <c r="AB691" s="6"/>
      <c r="AC691" s="6"/>
    </row>
    <row r="692" spans="2:29" customFormat="1" x14ac:dyDescent="0.25">
      <c r="B692" s="266"/>
      <c r="X692" s="154"/>
      <c r="Y692" s="165"/>
      <c r="Z692" s="6"/>
      <c r="AA692" s="6"/>
      <c r="AB692" s="6"/>
      <c r="AC692" s="6"/>
    </row>
    <row r="693" spans="2:29" customFormat="1" x14ac:dyDescent="0.25">
      <c r="B693" s="266"/>
      <c r="X693" s="154"/>
      <c r="Y693" s="165"/>
      <c r="Z693" s="6"/>
      <c r="AA693" s="6"/>
      <c r="AB693" s="6"/>
      <c r="AC693" s="6"/>
    </row>
    <row r="694" spans="2:29" customFormat="1" x14ac:dyDescent="0.25">
      <c r="B694" s="266"/>
      <c r="X694" s="154"/>
      <c r="Y694" s="165"/>
      <c r="Z694" s="6"/>
      <c r="AA694" s="6"/>
      <c r="AB694" s="6"/>
      <c r="AC694" s="6"/>
    </row>
    <row r="695" spans="2:29" customFormat="1" x14ac:dyDescent="0.25">
      <c r="B695" s="266"/>
      <c r="X695" s="154"/>
      <c r="Y695" s="165"/>
      <c r="Z695" s="6"/>
      <c r="AA695" s="6"/>
      <c r="AB695" s="6"/>
      <c r="AC695" s="6"/>
    </row>
    <row r="696" spans="2:29" customFormat="1" x14ac:dyDescent="0.25">
      <c r="B696" s="266"/>
      <c r="X696" s="154"/>
      <c r="Y696" s="165"/>
      <c r="Z696" s="6"/>
      <c r="AA696" s="6"/>
      <c r="AB696" s="6"/>
      <c r="AC696" s="6"/>
    </row>
    <row r="697" spans="2:29" customFormat="1" x14ac:dyDescent="0.25">
      <c r="B697" s="266"/>
      <c r="X697" s="154"/>
      <c r="Y697" s="165"/>
      <c r="Z697" s="6"/>
      <c r="AA697" s="6"/>
      <c r="AB697" s="6"/>
      <c r="AC697" s="6"/>
    </row>
    <row r="698" spans="2:29" customFormat="1" x14ac:dyDescent="0.25">
      <c r="B698" s="266"/>
      <c r="X698" s="154"/>
      <c r="Y698" s="165"/>
      <c r="Z698" s="6"/>
      <c r="AA698" s="6"/>
      <c r="AB698" s="6"/>
      <c r="AC698" s="6"/>
    </row>
    <row r="699" spans="2:29" customFormat="1" x14ac:dyDescent="0.25">
      <c r="B699" s="266"/>
      <c r="X699" s="154"/>
      <c r="Y699" s="165"/>
      <c r="Z699" s="6"/>
      <c r="AA699" s="6"/>
      <c r="AB699" s="6"/>
      <c r="AC699" s="6"/>
    </row>
    <row r="700" spans="2:29" customFormat="1" x14ac:dyDescent="0.25">
      <c r="B700" s="266"/>
      <c r="X700" s="154"/>
      <c r="Y700" s="165"/>
      <c r="Z700" s="6"/>
      <c r="AA700" s="6"/>
      <c r="AB700" s="6"/>
      <c r="AC700" s="6"/>
    </row>
    <row r="701" spans="2:29" customFormat="1" x14ac:dyDescent="0.25">
      <c r="B701" s="266"/>
      <c r="X701" s="154"/>
      <c r="Y701" s="165"/>
      <c r="Z701" s="6"/>
      <c r="AA701" s="6"/>
      <c r="AB701" s="6"/>
      <c r="AC701" s="6"/>
    </row>
    <row r="702" spans="2:29" customFormat="1" x14ac:dyDescent="0.25">
      <c r="B702" s="266"/>
      <c r="X702" s="154"/>
      <c r="Y702" s="165"/>
      <c r="Z702" s="6"/>
      <c r="AA702" s="6"/>
      <c r="AB702" s="6"/>
      <c r="AC702" s="6"/>
    </row>
    <row r="703" spans="2:29" customFormat="1" x14ac:dyDescent="0.25">
      <c r="B703" s="266"/>
      <c r="X703" s="154"/>
      <c r="Y703" s="165"/>
      <c r="Z703" s="6"/>
      <c r="AA703" s="6"/>
      <c r="AB703" s="6"/>
      <c r="AC703" s="6"/>
    </row>
    <row r="704" spans="2:29" customFormat="1" x14ac:dyDescent="0.25">
      <c r="B704" s="266"/>
      <c r="X704" s="154"/>
      <c r="Y704" s="165"/>
      <c r="Z704" s="6"/>
      <c r="AA704" s="6"/>
      <c r="AB704" s="6"/>
      <c r="AC704" s="6"/>
    </row>
    <row r="705" spans="2:29" customFormat="1" x14ac:dyDescent="0.25">
      <c r="B705" s="266"/>
      <c r="X705" s="154"/>
      <c r="Y705" s="165"/>
      <c r="Z705" s="6"/>
      <c r="AA705" s="6"/>
      <c r="AB705" s="6"/>
      <c r="AC705" s="6"/>
    </row>
    <row r="706" spans="2:29" customFormat="1" x14ac:dyDescent="0.25">
      <c r="B706" s="266"/>
      <c r="X706" s="154"/>
      <c r="Y706" s="165"/>
      <c r="Z706" s="6"/>
      <c r="AA706" s="6"/>
      <c r="AB706" s="6"/>
      <c r="AC706" s="6"/>
    </row>
    <row r="707" spans="2:29" customFormat="1" x14ac:dyDescent="0.25">
      <c r="B707" s="266"/>
      <c r="X707" s="154"/>
      <c r="Y707" s="165"/>
      <c r="Z707" s="6"/>
      <c r="AA707" s="6"/>
      <c r="AB707" s="6"/>
      <c r="AC707" s="6"/>
    </row>
    <row r="708" spans="2:29" customFormat="1" x14ac:dyDescent="0.25">
      <c r="B708" s="266"/>
      <c r="X708" s="154"/>
      <c r="Y708" s="165"/>
      <c r="Z708" s="6"/>
      <c r="AA708" s="6"/>
      <c r="AB708" s="6"/>
      <c r="AC708" s="6"/>
    </row>
    <row r="709" spans="2:29" customFormat="1" x14ac:dyDescent="0.25">
      <c r="B709" s="266"/>
      <c r="X709" s="154"/>
      <c r="Y709" s="165"/>
      <c r="Z709" s="6"/>
      <c r="AA709" s="6"/>
      <c r="AB709" s="6"/>
      <c r="AC709" s="6"/>
    </row>
    <row r="710" spans="2:29" customFormat="1" x14ac:dyDescent="0.25">
      <c r="B710" s="266"/>
      <c r="X710" s="154"/>
      <c r="Y710" s="165"/>
      <c r="Z710" s="6"/>
      <c r="AA710" s="6"/>
      <c r="AB710" s="6"/>
      <c r="AC710" s="6"/>
    </row>
    <row r="711" spans="2:29" customFormat="1" x14ac:dyDescent="0.25">
      <c r="B711" s="266"/>
      <c r="X711" s="154"/>
      <c r="Y711" s="165"/>
      <c r="Z711" s="6"/>
      <c r="AA711" s="6"/>
      <c r="AB711" s="6"/>
      <c r="AC711" s="6"/>
    </row>
    <row r="712" spans="2:29" customFormat="1" x14ac:dyDescent="0.25">
      <c r="B712" s="266"/>
      <c r="X712" s="154"/>
      <c r="Y712" s="165"/>
      <c r="Z712" s="6"/>
      <c r="AA712" s="6"/>
      <c r="AB712" s="6"/>
      <c r="AC712" s="6"/>
    </row>
    <row r="713" spans="2:29" customFormat="1" x14ac:dyDescent="0.25">
      <c r="B713" s="266"/>
      <c r="X713" s="154"/>
      <c r="Y713" s="165"/>
      <c r="Z713" s="6"/>
      <c r="AA713" s="6"/>
      <c r="AB713" s="6"/>
      <c r="AC713" s="6"/>
    </row>
    <row r="714" spans="2:29" customFormat="1" x14ac:dyDescent="0.25">
      <c r="B714" s="266"/>
      <c r="X714" s="154"/>
      <c r="Y714" s="165"/>
      <c r="Z714" s="6"/>
      <c r="AA714" s="6"/>
      <c r="AB714" s="6"/>
      <c r="AC714" s="6"/>
    </row>
    <row r="715" spans="2:29" customFormat="1" x14ac:dyDescent="0.25">
      <c r="B715" s="266"/>
      <c r="X715" s="154"/>
      <c r="Y715" s="165"/>
      <c r="Z715" s="6"/>
      <c r="AA715" s="6"/>
      <c r="AB715" s="6"/>
      <c r="AC715" s="6"/>
    </row>
    <row r="716" spans="2:29" customFormat="1" x14ac:dyDescent="0.25">
      <c r="B716" s="266"/>
      <c r="X716" s="154"/>
      <c r="Y716" s="165"/>
      <c r="Z716" s="6"/>
      <c r="AA716" s="6"/>
      <c r="AB716" s="6"/>
      <c r="AC716" s="6"/>
    </row>
    <row r="717" spans="2:29" customFormat="1" x14ac:dyDescent="0.25">
      <c r="B717" s="266"/>
      <c r="X717" s="154"/>
      <c r="Y717" s="165"/>
      <c r="Z717" s="6"/>
      <c r="AA717" s="6"/>
      <c r="AB717" s="6"/>
      <c r="AC717" s="6"/>
    </row>
    <row r="718" spans="2:29" customFormat="1" x14ac:dyDescent="0.25">
      <c r="B718" s="266"/>
      <c r="X718" s="154"/>
      <c r="Y718" s="165"/>
      <c r="Z718" s="6"/>
      <c r="AA718" s="6"/>
      <c r="AB718" s="6"/>
      <c r="AC718" s="6"/>
    </row>
    <row r="719" spans="2:29" customFormat="1" x14ac:dyDescent="0.25">
      <c r="B719" s="266"/>
      <c r="X719" s="154"/>
      <c r="Y719" s="165"/>
      <c r="Z719" s="6"/>
      <c r="AA719" s="6"/>
      <c r="AB719" s="6"/>
      <c r="AC719" s="6"/>
    </row>
    <row r="720" spans="2:29" customFormat="1" x14ac:dyDescent="0.25">
      <c r="B720" s="266"/>
      <c r="X720" s="154"/>
      <c r="Y720" s="165"/>
      <c r="Z720" s="6"/>
      <c r="AA720" s="6"/>
      <c r="AB720" s="6"/>
      <c r="AC720" s="6"/>
    </row>
    <row r="721" spans="2:29" customFormat="1" x14ac:dyDescent="0.25">
      <c r="B721" s="266"/>
      <c r="X721" s="154"/>
      <c r="Y721" s="165"/>
      <c r="Z721" s="6"/>
      <c r="AA721" s="6"/>
      <c r="AB721" s="6"/>
      <c r="AC721" s="6"/>
    </row>
    <row r="722" spans="2:29" customFormat="1" x14ac:dyDescent="0.25">
      <c r="B722" s="266"/>
      <c r="X722" s="154"/>
      <c r="Y722" s="165"/>
      <c r="Z722" s="6"/>
      <c r="AA722" s="6"/>
      <c r="AB722" s="6"/>
      <c r="AC722" s="6"/>
    </row>
    <row r="723" spans="2:29" customFormat="1" x14ac:dyDescent="0.25">
      <c r="B723" s="266"/>
      <c r="X723" s="154"/>
      <c r="Y723" s="165"/>
      <c r="Z723" s="6"/>
      <c r="AA723" s="6"/>
      <c r="AB723" s="6"/>
      <c r="AC723" s="6"/>
    </row>
    <row r="724" spans="2:29" customFormat="1" x14ac:dyDescent="0.25">
      <c r="B724" s="266"/>
      <c r="X724" s="154"/>
      <c r="Y724" s="165"/>
      <c r="Z724" s="6"/>
      <c r="AA724" s="6"/>
      <c r="AB724" s="6"/>
      <c r="AC724" s="6"/>
    </row>
    <row r="725" spans="2:29" customFormat="1" x14ac:dyDescent="0.25">
      <c r="B725" s="266"/>
      <c r="X725" s="154"/>
      <c r="Y725" s="165"/>
      <c r="Z725" s="6"/>
      <c r="AA725" s="6"/>
      <c r="AB725" s="6"/>
      <c r="AC725" s="6"/>
    </row>
    <row r="726" spans="2:29" customFormat="1" x14ac:dyDescent="0.25">
      <c r="B726" s="266"/>
      <c r="X726" s="154"/>
      <c r="Y726" s="165"/>
      <c r="Z726" s="6"/>
      <c r="AA726" s="6"/>
      <c r="AB726" s="6"/>
      <c r="AC726" s="6"/>
    </row>
    <row r="727" spans="2:29" customFormat="1" x14ac:dyDescent="0.25">
      <c r="B727" s="266"/>
      <c r="X727" s="154"/>
      <c r="Y727" s="165"/>
      <c r="Z727" s="6"/>
      <c r="AA727" s="6"/>
      <c r="AB727" s="6"/>
      <c r="AC727" s="6"/>
    </row>
    <row r="728" spans="2:29" customFormat="1" x14ac:dyDescent="0.25">
      <c r="B728" s="266"/>
      <c r="X728" s="154"/>
      <c r="Y728" s="165"/>
      <c r="Z728" s="6"/>
      <c r="AA728" s="6"/>
      <c r="AB728" s="6"/>
      <c r="AC728" s="6"/>
    </row>
    <row r="729" spans="2:29" customFormat="1" x14ac:dyDescent="0.25">
      <c r="B729" s="266"/>
      <c r="X729" s="154"/>
      <c r="Y729" s="165"/>
      <c r="Z729" s="6"/>
      <c r="AA729" s="6"/>
      <c r="AB729" s="6"/>
      <c r="AC729" s="6"/>
    </row>
    <row r="730" spans="2:29" customFormat="1" x14ac:dyDescent="0.25">
      <c r="B730" s="266"/>
      <c r="X730" s="154"/>
      <c r="Y730" s="165"/>
      <c r="Z730" s="6"/>
      <c r="AA730" s="6"/>
      <c r="AB730" s="6"/>
      <c r="AC730" s="6"/>
    </row>
    <row r="731" spans="2:29" customFormat="1" x14ac:dyDescent="0.25">
      <c r="B731" s="266"/>
      <c r="X731" s="154"/>
      <c r="Y731" s="165"/>
      <c r="Z731" s="6"/>
      <c r="AA731" s="6"/>
      <c r="AB731" s="6"/>
      <c r="AC731" s="6"/>
    </row>
    <row r="732" spans="2:29" customFormat="1" x14ac:dyDescent="0.25">
      <c r="B732" s="266"/>
      <c r="X732" s="154"/>
      <c r="Y732" s="165"/>
      <c r="Z732" s="6"/>
      <c r="AA732" s="6"/>
      <c r="AB732" s="6"/>
      <c r="AC732" s="6"/>
    </row>
    <row r="733" spans="2:29" customFormat="1" x14ac:dyDescent="0.25">
      <c r="B733" s="266"/>
      <c r="X733" s="154"/>
      <c r="Y733" s="165"/>
      <c r="Z733" s="6"/>
      <c r="AA733" s="6"/>
      <c r="AB733" s="6"/>
      <c r="AC733" s="6"/>
    </row>
    <row r="734" spans="2:29" customFormat="1" x14ac:dyDescent="0.25">
      <c r="B734" s="266"/>
      <c r="X734" s="154"/>
      <c r="Y734" s="165"/>
      <c r="Z734" s="6"/>
      <c r="AA734" s="6"/>
      <c r="AB734" s="6"/>
      <c r="AC734" s="6"/>
    </row>
    <row r="735" spans="2:29" customFormat="1" x14ac:dyDescent="0.25">
      <c r="B735" s="266"/>
      <c r="X735" s="154"/>
      <c r="Y735" s="165"/>
      <c r="Z735" s="6"/>
      <c r="AA735" s="6"/>
      <c r="AB735" s="6"/>
      <c r="AC735" s="6"/>
    </row>
    <row r="736" spans="2:29" customFormat="1" x14ac:dyDescent="0.25">
      <c r="B736" s="266"/>
      <c r="X736" s="154"/>
      <c r="Y736" s="165"/>
      <c r="Z736" s="6"/>
      <c r="AA736" s="6"/>
      <c r="AB736" s="6"/>
      <c r="AC736" s="6"/>
    </row>
    <row r="737" spans="2:29" customFormat="1" x14ac:dyDescent="0.25">
      <c r="B737" s="266"/>
      <c r="X737" s="154"/>
      <c r="Y737" s="165"/>
      <c r="Z737" s="6"/>
      <c r="AA737" s="6"/>
      <c r="AB737" s="6"/>
      <c r="AC737" s="6"/>
    </row>
    <row r="738" spans="2:29" customFormat="1" x14ac:dyDescent="0.25">
      <c r="B738" s="266"/>
      <c r="X738" s="154"/>
      <c r="Y738" s="165"/>
      <c r="Z738" s="6"/>
      <c r="AA738" s="6"/>
      <c r="AB738" s="6"/>
      <c r="AC738" s="6"/>
    </row>
    <row r="739" spans="2:29" customFormat="1" x14ac:dyDescent="0.25">
      <c r="B739" s="266"/>
      <c r="X739" s="154"/>
      <c r="Y739" s="165"/>
      <c r="Z739" s="6"/>
      <c r="AA739" s="6"/>
      <c r="AB739" s="6"/>
      <c r="AC739" s="6"/>
    </row>
    <row r="740" spans="2:29" customFormat="1" x14ac:dyDescent="0.25">
      <c r="B740" s="266"/>
      <c r="X740" s="154"/>
      <c r="Y740" s="165"/>
      <c r="Z740" s="6"/>
      <c r="AA740" s="6"/>
      <c r="AB740" s="6"/>
      <c r="AC740" s="6"/>
    </row>
    <row r="741" spans="2:29" customFormat="1" x14ac:dyDescent="0.25">
      <c r="B741" s="266"/>
      <c r="X741" s="154"/>
      <c r="Y741" s="165"/>
      <c r="Z741" s="6"/>
      <c r="AA741" s="6"/>
      <c r="AB741" s="6"/>
      <c r="AC741" s="6"/>
    </row>
    <row r="742" spans="2:29" customFormat="1" x14ac:dyDescent="0.25">
      <c r="B742" s="266"/>
      <c r="X742" s="154"/>
      <c r="Y742" s="165"/>
      <c r="Z742" s="6"/>
      <c r="AA742" s="6"/>
      <c r="AB742" s="6"/>
      <c r="AC742" s="6"/>
    </row>
    <row r="743" spans="2:29" customFormat="1" x14ac:dyDescent="0.25">
      <c r="B743" s="266"/>
      <c r="X743" s="154"/>
      <c r="Y743" s="165"/>
      <c r="Z743" s="6"/>
      <c r="AA743" s="6"/>
      <c r="AB743" s="6"/>
      <c r="AC743" s="6"/>
    </row>
    <row r="744" spans="2:29" customFormat="1" x14ac:dyDescent="0.25">
      <c r="B744" s="266"/>
      <c r="X744" s="154"/>
      <c r="Y744" s="165"/>
      <c r="Z744" s="6"/>
      <c r="AA744" s="6"/>
      <c r="AB744" s="6"/>
      <c r="AC744" s="6"/>
    </row>
    <row r="745" spans="2:29" customFormat="1" x14ac:dyDescent="0.25">
      <c r="B745" s="266"/>
      <c r="X745" s="154"/>
      <c r="Y745" s="165"/>
      <c r="Z745" s="6"/>
      <c r="AA745" s="6"/>
      <c r="AB745" s="6"/>
      <c r="AC745" s="6"/>
    </row>
    <row r="746" spans="2:29" customFormat="1" x14ac:dyDescent="0.25">
      <c r="B746" s="266"/>
      <c r="X746" s="154"/>
      <c r="Y746" s="165"/>
      <c r="Z746" s="6"/>
      <c r="AA746" s="6"/>
      <c r="AB746" s="6"/>
      <c r="AC746" s="6"/>
    </row>
    <row r="747" spans="2:29" customFormat="1" x14ac:dyDescent="0.25">
      <c r="B747" s="266"/>
      <c r="X747" s="154"/>
      <c r="Y747" s="165"/>
      <c r="Z747" s="6"/>
      <c r="AA747" s="6"/>
      <c r="AB747" s="6"/>
      <c r="AC747" s="6"/>
    </row>
    <row r="748" spans="2:29" customFormat="1" x14ac:dyDescent="0.25">
      <c r="B748" s="266"/>
      <c r="X748" s="154"/>
      <c r="Y748" s="165"/>
      <c r="Z748" s="6"/>
      <c r="AA748" s="6"/>
      <c r="AB748" s="6"/>
      <c r="AC748" s="6"/>
    </row>
    <row r="749" spans="2:29" customFormat="1" x14ac:dyDescent="0.25">
      <c r="B749" s="266"/>
      <c r="X749" s="154"/>
      <c r="Y749" s="165"/>
      <c r="Z749" s="6"/>
      <c r="AA749" s="6"/>
      <c r="AB749" s="6"/>
      <c r="AC749" s="6"/>
    </row>
    <row r="750" spans="2:29" customFormat="1" x14ac:dyDescent="0.25">
      <c r="B750" s="266"/>
      <c r="X750" s="154"/>
      <c r="Y750" s="165"/>
      <c r="Z750" s="6"/>
      <c r="AA750" s="6"/>
      <c r="AB750" s="6"/>
      <c r="AC750" s="6"/>
    </row>
    <row r="751" spans="2:29" customFormat="1" x14ac:dyDescent="0.25">
      <c r="B751" s="266"/>
      <c r="X751" s="154"/>
      <c r="Y751" s="165"/>
      <c r="Z751" s="6"/>
      <c r="AA751" s="6"/>
      <c r="AB751" s="6"/>
      <c r="AC751" s="6"/>
    </row>
    <row r="752" spans="2:29" customFormat="1" x14ac:dyDescent="0.25">
      <c r="B752" s="266"/>
      <c r="X752" s="154"/>
      <c r="Y752" s="165"/>
      <c r="Z752" s="6"/>
      <c r="AA752" s="6"/>
      <c r="AB752" s="6"/>
      <c r="AC752" s="6"/>
    </row>
    <row r="753" spans="2:29" customFormat="1" x14ac:dyDescent="0.25">
      <c r="B753" s="266"/>
      <c r="X753" s="154"/>
      <c r="Y753" s="165"/>
      <c r="Z753" s="6"/>
      <c r="AA753" s="6"/>
      <c r="AB753" s="6"/>
      <c r="AC753" s="6"/>
    </row>
    <row r="754" spans="2:29" customFormat="1" x14ac:dyDescent="0.25">
      <c r="B754" s="266"/>
      <c r="X754" s="154"/>
      <c r="Y754" s="165"/>
      <c r="Z754" s="6"/>
      <c r="AA754" s="6"/>
      <c r="AB754" s="6"/>
      <c r="AC754" s="6"/>
    </row>
    <row r="755" spans="2:29" customFormat="1" x14ac:dyDescent="0.25">
      <c r="B755" s="266"/>
      <c r="X755" s="154"/>
      <c r="Y755" s="165"/>
      <c r="Z755" s="6"/>
      <c r="AA755" s="6"/>
      <c r="AB755" s="6"/>
      <c r="AC755" s="6"/>
    </row>
    <row r="756" spans="2:29" customFormat="1" x14ac:dyDescent="0.25">
      <c r="B756" s="266"/>
      <c r="X756" s="154"/>
      <c r="Y756" s="165"/>
      <c r="Z756" s="6"/>
      <c r="AA756" s="6"/>
      <c r="AB756" s="6"/>
      <c r="AC756" s="6"/>
    </row>
    <row r="757" spans="2:29" customFormat="1" x14ac:dyDescent="0.25">
      <c r="B757" s="266"/>
      <c r="X757" s="154"/>
      <c r="Y757" s="165"/>
      <c r="Z757" s="6"/>
      <c r="AA757" s="6"/>
      <c r="AB757" s="6"/>
      <c r="AC757" s="6"/>
    </row>
    <row r="758" spans="2:29" customFormat="1" x14ac:dyDescent="0.25">
      <c r="B758" s="266"/>
      <c r="X758" s="154"/>
      <c r="Y758" s="165"/>
      <c r="Z758" s="6"/>
      <c r="AA758" s="6"/>
      <c r="AB758" s="6"/>
      <c r="AC758" s="6"/>
    </row>
    <row r="759" spans="2:29" customFormat="1" x14ac:dyDescent="0.25">
      <c r="B759" s="266"/>
      <c r="X759" s="154"/>
      <c r="Y759" s="165"/>
      <c r="Z759" s="6"/>
      <c r="AA759" s="6"/>
      <c r="AB759" s="6"/>
      <c r="AC759" s="6"/>
    </row>
    <row r="760" spans="2:29" customFormat="1" x14ac:dyDescent="0.25">
      <c r="B760" s="266"/>
      <c r="X760" s="154"/>
      <c r="Y760" s="165"/>
      <c r="Z760" s="6"/>
      <c r="AA760" s="6"/>
      <c r="AB760" s="6"/>
      <c r="AC760" s="6"/>
    </row>
    <row r="761" spans="2:29" customFormat="1" x14ac:dyDescent="0.25">
      <c r="B761" s="266"/>
      <c r="X761" s="154"/>
      <c r="Y761" s="165"/>
      <c r="Z761" s="6"/>
      <c r="AA761" s="6"/>
      <c r="AB761" s="6"/>
      <c r="AC761" s="6"/>
    </row>
    <row r="762" spans="2:29" customFormat="1" x14ac:dyDescent="0.25">
      <c r="B762" s="266"/>
      <c r="X762" s="154"/>
      <c r="Y762" s="165"/>
      <c r="Z762" s="6"/>
      <c r="AA762" s="6"/>
      <c r="AB762" s="6"/>
      <c r="AC762" s="6"/>
    </row>
    <row r="763" spans="2:29" customFormat="1" x14ac:dyDescent="0.25">
      <c r="B763" s="266"/>
      <c r="X763" s="154"/>
      <c r="Y763" s="165"/>
      <c r="Z763" s="6"/>
      <c r="AA763" s="6"/>
      <c r="AB763" s="6"/>
      <c r="AC763" s="6"/>
    </row>
    <row r="764" spans="2:29" customFormat="1" x14ac:dyDescent="0.25">
      <c r="B764" s="266"/>
      <c r="X764" s="154"/>
      <c r="Y764" s="165"/>
      <c r="Z764" s="6"/>
      <c r="AA764" s="6"/>
      <c r="AB764" s="6"/>
      <c r="AC764" s="6"/>
    </row>
    <row r="765" spans="2:29" customFormat="1" x14ac:dyDescent="0.25">
      <c r="B765" s="266"/>
      <c r="X765" s="154"/>
      <c r="Y765" s="165"/>
      <c r="Z765" s="6"/>
      <c r="AA765" s="6"/>
      <c r="AB765" s="6"/>
      <c r="AC765" s="6"/>
    </row>
    <row r="766" spans="2:29" customFormat="1" x14ac:dyDescent="0.25">
      <c r="B766" s="266"/>
      <c r="X766" s="154"/>
      <c r="Y766" s="165"/>
      <c r="Z766" s="6"/>
      <c r="AA766" s="6"/>
      <c r="AB766" s="6"/>
      <c r="AC766" s="6"/>
    </row>
    <row r="767" spans="2:29" customFormat="1" x14ac:dyDescent="0.25">
      <c r="B767" s="266"/>
      <c r="X767" s="154"/>
      <c r="Y767" s="165"/>
      <c r="Z767" s="6"/>
      <c r="AA767" s="6"/>
      <c r="AB767" s="6"/>
      <c r="AC767" s="6"/>
    </row>
    <row r="768" spans="2:29" customFormat="1" x14ac:dyDescent="0.25">
      <c r="B768" s="266"/>
      <c r="X768" s="154"/>
      <c r="Y768" s="165"/>
      <c r="Z768" s="6"/>
      <c r="AA768" s="6"/>
      <c r="AB768" s="6"/>
      <c r="AC768" s="6"/>
    </row>
    <row r="769" spans="2:29" customFormat="1" x14ac:dyDescent="0.25">
      <c r="B769" s="266"/>
      <c r="X769" s="154"/>
      <c r="Y769" s="165"/>
      <c r="Z769" s="6"/>
      <c r="AA769" s="6"/>
      <c r="AB769" s="6"/>
      <c r="AC769" s="6"/>
    </row>
    <row r="770" spans="2:29" customFormat="1" x14ac:dyDescent="0.25">
      <c r="B770" s="266"/>
      <c r="X770" s="154"/>
      <c r="Y770" s="165"/>
      <c r="Z770" s="6"/>
      <c r="AA770" s="6"/>
      <c r="AB770" s="6"/>
      <c r="AC770" s="6"/>
    </row>
    <row r="771" spans="2:29" customFormat="1" x14ac:dyDescent="0.25">
      <c r="B771" s="266"/>
      <c r="X771" s="154"/>
      <c r="Y771" s="165"/>
      <c r="Z771" s="6"/>
      <c r="AA771" s="6"/>
      <c r="AB771" s="6"/>
      <c r="AC771" s="6"/>
    </row>
    <row r="772" spans="2:29" customFormat="1" x14ac:dyDescent="0.25">
      <c r="B772" s="266"/>
      <c r="X772" s="154"/>
      <c r="Y772" s="165"/>
      <c r="Z772" s="6"/>
      <c r="AA772" s="6"/>
      <c r="AB772" s="6"/>
      <c r="AC772" s="6"/>
    </row>
    <row r="773" spans="2:29" customFormat="1" x14ac:dyDescent="0.25">
      <c r="B773" s="266"/>
      <c r="X773" s="154"/>
      <c r="Y773" s="165"/>
      <c r="Z773" s="6"/>
      <c r="AA773" s="6"/>
      <c r="AB773" s="6"/>
      <c r="AC773" s="6"/>
    </row>
    <row r="774" spans="2:29" customFormat="1" x14ac:dyDescent="0.25">
      <c r="B774" s="266"/>
      <c r="X774" s="154"/>
      <c r="Y774" s="165"/>
      <c r="Z774" s="6"/>
      <c r="AA774" s="6"/>
      <c r="AB774" s="6"/>
      <c r="AC774" s="6"/>
    </row>
    <row r="775" spans="2:29" customFormat="1" x14ac:dyDescent="0.25">
      <c r="B775" s="266"/>
      <c r="X775" s="154"/>
      <c r="Y775" s="165"/>
      <c r="Z775" s="6"/>
      <c r="AA775" s="6"/>
      <c r="AB775" s="6"/>
      <c r="AC775" s="6"/>
    </row>
    <row r="776" spans="2:29" customFormat="1" x14ac:dyDescent="0.25">
      <c r="B776" s="266"/>
      <c r="X776" s="154"/>
      <c r="Y776" s="165"/>
      <c r="Z776" s="6"/>
      <c r="AA776" s="6"/>
      <c r="AB776" s="6"/>
      <c r="AC776" s="6"/>
    </row>
    <row r="777" spans="2:29" customFormat="1" x14ac:dyDescent="0.25">
      <c r="B777" s="266"/>
      <c r="X777" s="154"/>
      <c r="Y777" s="165"/>
      <c r="Z777" s="6"/>
      <c r="AA777" s="6"/>
      <c r="AB777" s="6"/>
      <c r="AC777" s="6"/>
    </row>
    <row r="778" spans="2:29" customFormat="1" x14ac:dyDescent="0.25">
      <c r="B778" s="266"/>
      <c r="X778" s="154"/>
      <c r="Y778" s="165"/>
      <c r="Z778" s="6"/>
      <c r="AA778" s="6"/>
      <c r="AB778" s="6"/>
      <c r="AC778" s="6"/>
    </row>
    <row r="779" spans="2:29" customFormat="1" x14ac:dyDescent="0.25">
      <c r="B779" s="266"/>
      <c r="X779" s="154"/>
      <c r="Y779" s="165"/>
      <c r="Z779" s="6"/>
      <c r="AA779" s="6"/>
      <c r="AB779" s="6"/>
      <c r="AC779" s="6"/>
    </row>
    <row r="780" spans="2:29" customFormat="1" x14ac:dyDescent="0.25">
      <c r="B780" s="266"/>
      <c r="X780" s="154"/>
      <c r="Y780" s="165"/>
      <c r="Z780" s="6"/>
      <c r="AA780" s="6"/>
      <c r="AB780" s="6"/>
      <c r="AC780" s="6"/>
    </row>
    <row r="781" spans="2:29" customFormat="1" x14ac:dyDescent="0.25">
      <c r="B781" s="266"/>
      <c r="X781" s="154"/>
      <c r="Y781" s="165"/>
      <c r="Z781" s="6"/>
      <c r="AA781" s="6"/>
      <c r="AB781" s="6"/>
      <c r="AC781" s="6"/>
    </row>
    <row r="782" spans="2:29" customFormat="1" x14ac:dyDescent="0.25">
      <c r="B782" s="266"/>
      <c r="X782" s="154"/>
      <c r="Y782" s="165"/>
      <c r="Z782" s="6"/>
      <c r="AA782" s="6"/>
      <c r="AB782" s="6"/>
      <c r="AC782" s="6"/>
    </row>
    <row r="783" spans="2:29" customFormat="1" x14ac:dyDescent="0.25">
      <c r="B783" s="266"/>
      <c r="X783" s="154"/>
      <c r="Y783" s="165"/>
      <c r="Z783" s="6"/>
      <c r="AA783" s="6"/>
      <c r="AB783" s="6"/>
      <c r="AC783" s="6"/>
    </row>
    <row r="784" spans="2:29" customFormat="1" x14ac:dyDescent="0.25">
      <c r="B784" s="266"/>
      <c r="X784" s="154"/>
      <c r="Y784" s="165"/>
      <c r="Z784" s="6"/>
      <c r="AA784" s="6"/>
      <c r="AB784" s="6"/>
      <c r="AC784" s="6"/>
    </row>
    <row r="785" spans="2:29" customFormat="1" x14ac:dyDescent="0.25">
      <c r="B785" s="266"/>
      <c r="X785" s="154"/>
      <c r="Y785" s="165"/>
      <c r="Z785" s="6"/>
      <c r="AA785" s="6"/>
      <c r="AB785" s="6"/>
      <c r="AC785" s="6"/>
    </row>
    <row r="786" spans="2:29" customFormat="1" x14ac:dyDescent="0.25">
      <c r="B786" s="266"/>
      <c r="X786" s="154"/>
      <c r="Y786" s="165"/>
      <c r="Z786" s="6"/>
      <c r="AA786" s="6"/>
      <c r="AB786" s="6"/>
      <c r="AC786" s="6"/>
    </row>
    <row r="787" spans="2:29" customFormat="1" x14ac:dyDescent="0.25">
      <c r="B787" s="266"/>
      <c r="X787" s="154"/>
      <c r="Y787" s="165"/>
      <c r="Z787" s="6"/>
      <c r="AA787" s="6"/>
      <c r="AB787" s="6"/>
      <c r="AC787" s="6"/>
    </row>
    <row r="788" spans="2:29" customFormat="1" x14ac:dyDescent="0.25">
      <c r="B788" s="266"/>
      <c r="X788" s="154"/>
      <c r="Y788" s="165"/>
      <c r="Z788" s="6"/>
      <c r="AA788" s="6"/>
      <c r="AB788" s="6"/>
      <c r="AC788" s="6"/>
    </row>
    <row r="789" spans="2:29" customFormat="1" x14ac:dyDescent="0.25">
      <c r="B789" s="266"/>
      <c r="X789" s="154"/>
      <c r="Y789" s="165"/>
      <c r="Z789" s="6"/>
      <c r="AA789" s="6"/>
      <c r="AB789" s="6"/>
      <c r="AC789" s="6"/>
    </row>
    <row r="790" spans="2:29" customFormat="1" x14ac:dyDescent="0.25">
      <c r="B790" s="266"/>
      <c r="X790" s="154"/>
      <c r="Y790" s="165"/>
      <c r="Z790" s="6"/>
      <c r="AA790" s="6"/>
      <c r="AB790" s="6"/>
      <c r="AC790" s="6"/>
    </row>
    <row r="791" spans="2:29" customFormat="1" x14ac:dyDescent="0.25">
      <c r="B791" s="266"/>
      <c r="X791" s="154"/>
      <c r="Y791" s="165"/>
      <c r="Z791" s="6"/>
      <c r="AA791" s="6"/>
      <c r="AB791" s="6"/>
      <c r="AC791" s="6"/>
    </row>
    <row r="792" spans="2:29" customFormat="1" x14ac:dyDescent="0.25">
      <c r="B792" s="266"/>
      <c r="X792" s="154"/>
      <c r="Y792" s="165"/>
      <c r="Z792" s="6"/>
      <c r="AA792" s="6"/>
      <c r="AB792" s="6"/>
      <c r="AC792" s="6"/>
    </row>
    <row r="793" spans="2:29" customFormat="1" x14ac:dyDescent="0.25">
      <c r="B793" s="266"/>
      <c r="X793" s="154"/>
      <c r="Y793" s="165"/>
      <c r="Z793" s="6"/>
      <c r="AA793" s="6"/>
      <c r="AB793" s="6"/>
      <c r="AC793" s="6"/>
    </row>
    <row r="794" spans="2:29" customFormat="1" x14ac:dyDescent="0.25">
      <c r="B794" s="266"/>
      <c r="X794" s="154"/>
      <c r="Y794" s="165"/>
      <c r="Z794" s="6"/>
      <c r="AA794" s="6"/>
      <c r="AB794" s="6"/>
      <c r="AC794" s="6"/>
    </row>
    <row r="795" spans="2:29" customFormat="1" x14ac:dyDescent="0.25">
      <c r="B795" s="266"/>
      <c r="X795" s="154"/>
      <c r="Y795" s="165"/>
      <c r="Z795" s="6"/>
      <c r="AA795" s="6"/>
      <c r="AB795" s="6"/>
      <c r="AC795" s="6"/>
    </row>
    <row r="796" spans="2:29" customFormat="1" x14ac:dyDescent="0.25">
      <c r="B796" s="266"/>
      <c r="X796" s="154"/>
      <c r="Y796" s="165"/>
      <c r="Z796" s="6"/>
      <c r="AA796" s="6"/>
      <c r="AB796" s="6"/>
      <c r="AC796" s="6"/>
    </row>
    <row r="797" spans="2:29" customFormat="1" x14ac:dyDescent="0.25">
      <c r="B797" s="266"/>
      <c r="X797" s="154"/>
      <c r="Y797" s="165"/>
      <c r="Z797" s="6"/>
      <c r="AA797" s="6"/>
      <c r="AB797" s="6"/>
      <c r="AC797" s="6"/>
    </row>
    <row r="798" spans="2:29" customFormat="1" x14ac:dyDescent="0.25">
      <c r="B798" s="266"/>
      <c r="X798" s="154"/>
      <c r="Y798" s="165"/>
      <c r="Z798" s="6"/>
      <c r="AA798" s="6"/>
      <c r="AB798" s="6"/>
      <c r="AC798" s="6"/>
    </row>
    <row r="799" spans="2:29" customFormat="1" x14ac:dyDescent="0.25">
      <c r="B799" s="266"/>
      <c r="X799" s="154"/>
      <c r="Y799" s="165"/>
      <c r="Z799" s="6"/>
      <c r="AA799" s="6"/>
      <c r="AB799" s="6"/>
      <c r="AC799" s="6"/>
    </row>
    <row r="800" spans="2:29" customFormat="1" x14ac:dyDescent="0.25">
      <c r="B800" s="266"/>
      <c r="X800" s="154"/>
      <c r="Y800" s="165"/>
      <c r="Z800" s="6"/>
      <c r="AA800" s="6"/>
      <c r="AB800" s="6"/>
      <c r="AC800" s="6"/>
    </row>
    <row r="801" spans="2:29" customFormat="1" x14ac:dyDescent="0.25">
      <c r="B801" s="266"/>
      <c r="X801" s="154"/>
      <c r="Y801" s="165"/>
      <c r="Z801" s="6"/>
      <c r="AA801" s="6"/>
      <c r="AB801" s="6"/>
      <c r="AC801" s="6"/>
    </row>
    <row r="802" spans="2:29" customFormat="1" x14ac:dyDescent="0.25">
      <c r="B802" s="266"/>
      <c r="X802" s="154"/>
      <c r="Y802" s="165"/>
      <c r="Z802" s="6"/>
      <c r="AA802" s="6"/>
      <c r="AB802" s="6"/>
      <c r="AC802" s="6"/>
    </row>
    <row r="803" spans="2:29" customFormat="1" x14ac:dyDescent="0.25">
      <c r="B803" s="266"/>
      <c r="X803" s="154"/>
      <c r="Y803" s="165"/>
      <c r="Z803" s="6"/>
      <c r="AA803" s="6"/>
      <c r="AB803" s="6"/>
      <c r="AC803" s="6"/>
    </row>
    <row r="804" spans="2:29" customFormat="1" x14ac:dyDescent="0.25">
      <c r="B804" s="266"/>
      <c r="X804" s="154"/>
      <c r="Y804" s="165"/>
      <c r="Z804" s="6"/>
      <c r="AA804" s="6"/>
      <c r="AB804" s="6"/>
      <c r="AC804" s="6"/>
    </row>
    <row r="805" spans="2:29" customFormat="1" x14ac:dyDescent="0.25">
      <c r="B805" s="266"/>
      <c r="X805" s="154"/>
      <c r="Y805" s="165"/>
      <c r="Z805" s="6"/>
      <c r="AA805" s="6"/>
      <c r="AB805" s="6"/>
      <c r="AC805" s="6"/>
    </row>
    <row r="806" spans="2:29" customFormat="1" x14ac:dyDescent="0.25">
      <c r="B806" s="266"/>
      <c r="X806" s="154"/>
      <c r="Y806" s="165"/>
      <c r="Z806" s="6"/>
      <c r="AA806" s="6"/>
      <c r="AB806" s="6"/>
      <c r="AC806" s="6"/>
    </row>
    <row r="807" spans="2:29" customFormat="1" x14ac:dyDescent="0.25">
      <c r="B807" s="266"/>
      <c r="X807" s="154"/>
      <c r="Y807" s="165"/>
      <c r="Z807" s="6"/>
      <c r="AA807" s="6"/>
      <c r="AB807" s="6"/>
      <c r="AC807" s="6"/>
    </row>
    <row r="808" spans="2:29" customFormat="1" x14ac:dyDescent="0.25">
      <c r="B808" s="266"/>
      <c r="X808" s="154"/>
      <c r="Y808" s="165"/>
      <c r="Z808" s="6"/>
      <c r="AA808" s="6"/>
      <c r="AB808" s="6"/>
      <c r="AC808" s="6"/>
    </row>
    <row r="809" spans="2:29" customFormat="1" x14ac:dyDescent="0.25">
      <c r="B809" s="266"/>
      <c r="X809" s="154"/>
      <c r="Y809" s="165"/>
      <c r="Z809" s="6"/>
      <c r="AA809" s="6"/>
      <c r="AB809" s="6"/>
      <c r="AC809" s="6"/>
    </row>
    <row r="810" spans="2:29" customFormat="1" x14ac:dyDescent="0.25">
      <c r="B810" s="266"/>
      <c r="X810" s="154"/>
      <c r="Y810" s="165"/>
      <c r="Z810" s="6"/>
      <c r="AA810" s="6"/>
      <c r="AB810" s="6"/>
      <c r="AC810" s="6"/>
    </row>
    <row r="811" spans="2:29" customFormat="1" x14ac:dyDescent="0.25">
      <c r="B811" s="266"/>
      <c r="X811" s="154"/>
      <c r="Y811" s="165"/>
      <c r="Z811" s="6"/>
      <c r="AA811" s="6"/>
      <c r="AB811" s="6"/>
      <c r="AC811" s="6"/>
    </row>
    <row r="812" spans="2:29" customFormat="1" x14ac:dyDescent="0.25">
      <c r="B812" s="266"/>
      <c r="X812" s="154"/>
      <c r="Y812" s="165"/>
      <c r="Z812" s="6"/>
      <c r="AA812" s="6"/>
      <c r="AB812" s="6"/>
      <c r="AC812" s="6"/>
    </row>
    <row r="813" spans="2:29" customFormat="1" x14ac:dyDescent="0.25">
      <c r="B813" s="266"/>
      <c r="X813" s="154"/>
      <c r="Y813" s="165"/>
      <c r="Z813" s="6"/>
      <c r="AA813" s="6"/>
      <c r="AB813" s="6"/>
      <c r="AC813" s="6"/>
    </row>
    <row r="814" spans="2:29" customFormat="1" x14ac:dyDescent="0.25">
      <c r="B814" s="266"/>
      <c r="X814" s="154"/>
      <c r="Y814" s="165"/>
      <c r="Z814" s="6"/>
      <c r="AA814" s="6"/>
      <c r="AB814" s="6"/>
      <c r="AC814" s="6"/>
    </row>
    <row r="815" spans="2:29" customFormat="1" x14ac:dyDescent="0.25">
      <c r="B815" s="266"/>
      <c r="X815" s="154"/>
      <c r="Y815" s="165"/>
      <c r="Z815" s="6"/>
      <c r="AA815" s="6"/>
      <c r="AB815" s="6"/>
      <c r="AC815" s="6"/>
    </row>
    <row r="816" spans="2:29" customFormat="1" x14ac:dyDescent="0.25">
      <c r="B816" s="266"/>
      <c r="X816" s="154"/>
      <c r="Y816" s="165"/>
      <c r="Z816" s="6"/>
      <c r="AA816" s="6"/>
      <c r="AB816" s="6"/>
      <c r="AC816" s="6"/>
    </row>
    <row r="817" spans="2:29" customFormat="1" x14ac:dyDescent="0.25">
      <c r="B817" s="266"/>
      <c r="X817" s="154"/>
      <c r="Y817" s="165"/>
      <c r="Z817" s="6"/>
      <c r="AA817" s="6"/>
      <c r="AB817" s="6"/>
      <c r="AC817" s="6"/>
    </row>
    <row r="818" spans="2:29" customFormat="1" x14ac:dyDescent="0.25">
      <c r="B818" s="266"/>
      <c r="X818" s="154"/>
      <c r="Y818" s="165"/>
      <c r="Z818" s="6"/>
      <c r="AA818" s="6"/>
      <c r="AB818" s="6"/>
      <c r="AC818" s="6"/>
    </row>
    <row r="819" spans="2:29" customFormat="1" x14ac:dyDescent="0.25">
      <c r="B819" s="266"/>
      <c r="X819" s="154"/>
      <c r="Y819" s="165"/>
      <c r="Z819" s="6"/>
      <c r="AA819" s="6"/>
      <c r="AB819" s="6"/>
      <c r="AC819" s="6"/>
    </row>
    <row r="820" spans="2:29" customFormat="1" x14ac:dyDescent="0.25">
      <c r="B820" s="266"/>
      <c r="X820" s="154"/>
      <c r="Y820" s="165"/>
      <c r="Z820" s="6"/>
      <c r="AA820" s="6"/>
      <c r="AB820" s="6"/>
      <c r="AC820" s="6"/>
    </row>
    <row r="821" spans="2:29" customFormat="1" x14ac:dyDescent="0.25">
      <c r="B821" s="266"/>
      <c r="X821" s="154"/>
      <c r="Y821" s="165"/>
      <c r="Z821" s="6"/>
      <c r="AA821" s="6"/>
      <c r="AB821" s="6"/>
      <c r="AC821" s="6"/>
    </row>
    <row r="822" spans="2:29" customFormat="1" x14ac:dyDescent="0.25">
      <c r="B822" s="266"/>
      <c r="X822" s="154"/>
      <c r="Y822" s="165"/>
      <c r="Z822" s="6"/>
      <c r="AA822" s="6"/>
      <c r="AB822" s="6"/>
      <c r="AC822" s="6"/>
    </row>
    <row r="823" spans="2:29" customFormat="1" x14ac:dyDescent="0.25">
      <c r="B823" s="266"/>
      <c r="X823" s="154"/>
      <c r="Y823" s="165"/>
      <c r="Z823" s="6"/>
      <c r="AA823" s="6"/>
      <c r="AB823" s="6"/>
      <c r="AC823" s="6"/>
    </row>
    <row r="824" spans="2:29" customFormat="1" x14ac:dyDescent="0.25">
      <c r="B824" s="266"/>
      <c r="X824" s="154"/>
      <c r="Y824" s="165"/>
      <c r="Z824" s="6"/>
      <c r="AA824" s="6"/>
      <c r="AB824" s="6"/>
      <c r="AC824" s="6"/>
    </row>
    <row r="825" spans="2:29" customFormat="1" x14ac:dyDescent="0.25">
      <c r="B825" s="266"/>
      <c r="X825" s="154"/>
      <c r="Y825" s="165"/>
      <c r="Z825" s="6"/>
      <c r="AA825" s="6"/>
      <c r="AB825" s="6"/>
      <c r="AC825" s="6"/>
    </row>
    <row r="826" spans="2:29" customFormat="1" x14ac:dyDescent="0.25">
      <c r="B826" s="266"/>
      <c r="X826" s="154"/>
      <c r="Y826" s="165"/>
      <c r="Z826" s="6"/>
      <c r="AA826" s="6"/>
      <c r="AB826" s="6"/>
      <c r="AC826" s="6"/>
    </row>
    <row r="827" spans="2:29" customFormat="1" x14ac:dyDescent="0.25">
      <c r="B827" s="266"/>
      <c r="X827" s="154"/>
      <c r="Y827" s="165"/>
      <c r="Z827" s="6"/>
      <c r="AA827" s="6"/>
      <c r="AB827" s="6"/>
      <c r="AC827" s="6"/>
    </row>
    <row r="828" spans="2:29" customFormat="1" x14ac:dyDescent="0.25">
      <c r="B828" s="266"/>
      <c r="X828" s="154"/>
      <c r="Y828" s="165"/>
      <c r="Z828" s="6"/>
      <c r="AA828" s="6"/>
      <c r="AB828" s="6"/>
      <c r="AC828" s="6"/>
    </row>
    <row r="829" spans="2:29" customFormat="1" x14ac:dyDescent="0.25">
      <c r="B829" s="266"/>
      <c r="X829" s="154"/>
      <c r="Y829" s="165"/>
      <c r="Z829" s="6"/>
      <c r="AA829" s="6"/>
      <c r="AB829" s="6"/>
      <c r="AC829" s="6"/>
    </row>
    <row r="830" spans="2:29" customFormat="1" x14ac:dyDescent="0.25">
      <c r="B830" s="266"/>
      <c r="X830" s="154"/>
      <c r="Y830" s="165"/>
      <c r="Z830" s="6"/>
      <c r="AA830" s="6"/>
      <c r="AB830" s="6"/>
      <c r="AC830" s="6"/>
    </row>
    <row r="831" spans="2:29" customFormat="1" x14ac:dyDescent="0.25">
      <c r="B831" s="266"/>
      <c r="X831" s="154"/>
      <c r="Y831" s="165"/>
      <c r="Z831" s="6"/>
      <c r="AA831" s="6"/>
      <c r="AB831" s="6"/>
      <c r="AC831" s="6"/>
    </row>
    <row r="832" spans="2:29" customFormat="1" x14ac:dyDescent="0.25">
      <c r="B832" s="266"/>
      <c r="X832" s="154"/>
      <c r="Y832" s="165"/>
      <c r="Z832" s="6"/>
      <c r="AA832" s="6"/>
      <c r="AB832" s="6"/>
      <c r="AC832" s="6"/>
    </row>
    <row r="833" spans="2:29" customFormat="1" x14ac:dyDescent="0.25">
      <c r="B833" s="266"/>
      <c r="X833" s="154"/>
      <c r="Y833" s="165"/>
      <c r="Z833" s="6"/>
      <c r="AA833" s="6"/>
      <c r="AB833" s="6"/>
      <c r="AC833" s="6"/>
    </row>
    <row r="834" spans="2:29" customFormat="1" x14ac:dyDescent="0.25">
      <c r="B834" s="266"/>
      <c r="X834" s="154"/>
      <c r="Y834" s="165"/>
      <c r="Z834" s="6"/>
      <c r="AA834" s="6"/>
      <c r="AB834" s="6"/>
      <c r="AC834" s="6"/>
    </row>
    <row r="835" spans="2:29" customFormat="1" x14ac:dyDescent="0.25">
      <c r="B835" s="266"/>
      <c r="X835" s="154"/>
      <c r="Y835" s="165"/>
      <c r="Z835" s="6"/>
      <c r="AA835" s="6"/>
      <c r="AB835" s="6"/>
      <c r="AC835" s="6"/>
    </row>
    <row r="836" spans="2:29" customFormat="1" x14ac:dyDescent="0.25">
      <c r="B836" s="266"/>
      <c r="X836" s="154"/>
      <c r="Y836" s="165"/>
      <c r="Z836" s="6"/>
      <c r="AA836" s="6"/>
      <c r="AB836" s="6"/>
      <c r="AC836" s="6"/>
    </row>
    <row r="837" spans="2:29" customFormat="1" x14ac:dyDescent="0.25">
      <c r="B837" s="266"/>
      <c r="X837" s="154"/>
      <c r="Y837" s="165"/>
      <c r="Z837" s="6"/>
      <c r="AA837" s="6"/>
      <c r="AB837" s="6"/>
      <c r="AC837" s="6"/>
    </row>
    <row r="838" spans="2:29" customFormat="1" x14ac:dyDescent="0.25">
      <c r="B838" s="266"/>
      <c r="X838" s="154"/>
      <c r="Y838" s="165"/>
      <c r="Z838" s="6"/>
      <c r="AA838" s="6"/>
      <c r="AB838" s="6"/>
      <c r="AC838" s="6"/>
    </row>
    <row r="839" spans="2:29" customFormat="1" x14ac:dyDescent="0.25">
      <c r="B839" s="266"/>
      <c r="X839" s="154"/>
      <c r="Y839" s="165"/>
      <c r="Z839" s="6"/>
      <c r="AA839" s="6"/>
      <c r="AB839" s="6"/>
      <c r="AC839" s="6"/>
    </row>
    <row r="840" spans="2:29" customFormat="1" x14ac:dyDescent="0.25">
      <c r="B840" s="266"/>
      <c r="X840" s="154"/>
      <c r="Y840" s="165"/>
      <c r="Z840" s="6"/>
      <c r="AA840" s="6"/>
      <c r="AB840" s="6"/>
      <c r="AC840" s="6"/>
    </row>
    <row r="841" spans="2:29" customFormat="1" x14ac:dyDescent="0.25">
      <c r="B841" s="266"/>
      <c r="X841" s="154"/>
      <c r="Y841" s="165"/>
      <c r="Z841" s="6"/>
      <c r="AA841" s="6"/>
      <c r="AB841" s="6"/>
      <c r="AC841" s="6"/>
    </row>
    <row r="842" spans="2:29" customFormat="1" x14ac:dyDescent="0.25">
      <c r="B842" s="266"/>
      <c r="X842" s="154"/>
      <c r="Y842" s="165"/>
      <c r="Z842" s="6"/>
      <c r="AA842" s="6"/>
      <c r="AB842" s="6"/>
      <c r="AC842" s="6"/>
    </row>
    <row r="843" spans="2:29" customFormat="1" x14ac:dyDescent="0.25">
      <c r="B843" s="266"/>
      <c r="X843" s="154"/>
      <c r="Y843" s="165"/>
      <c r="Z843" s="6"/>
      <c r="AA843" s="6"/>
      <c r="AB843" s="6"/>
      <c r="AC843" s="6"/>
    </row>
    <row r="844" spans="2:29" customFormat="1" x14ac:dyDescent="0.25">
      <c r="B844" s="266"/>
      <c r="X844" s="154"/>
      <c r="Y844" s="165"/>
      <c r="Z844" s="6"/>
      <c r="AA844" s="6"/>
      <c r="AB844" s="6"/>
      <c r="AC844" s="6"/>
    </row>
    <row r="845" spans="2:29" customFormat="1" x14ac:dyDescent="0.25">
      <c r="B845" s="266"/>
      <c r="X845" s="154"/>
      <c r="Y845" s="165"/>
      <c r="Z845" s="6"/>
      <c r="AA845" s="6"/>
      <c r="AB845" s="6"/>
      <c r="AC845" s="6"/>
    </row>
    <row r="846" spans="2:29" customFormat="1" x14ac:dyDescent="0.25">
      <c r="B846" s="266"/>
      <c r="X846" s="154"/>
      <c r="Y846" s="165"/>
      <c r="Z846" s="6"/>
      <c r="AA846" s="6"/>
      <c r="AB846" s="6"/>
      <c r="AC846" s="6"/>
    </row>
    <row r="847" spans="2:29" customFormat="1" x14ac:dyDescent="0.25">
      <c r="B847" s="266"/>
      <c r="X847" s="154"/>
      <c r="Y847" s="165"/>
      <c r="Z847" s="6"/>
      <c r="AA847" s="6"/>
      <c r="AB847" s="6"/>
      <c r="AC847" s="6"/>
    </row>
    <row r="848" spans="2:29" customFormat="1" x14ac:dyDescent="0.25">
      <c r="B848" s="266"/>
      <c r="X848" s="154"/>
      <c r="Y848" s="165"/>
      <c r="Z848" s="6"/>
      <c r="AA848" s="6"/>
      <c r="AB848" s="6"/>
      <c r="AC848" s="6"/>
    </row>
    <row r="849" spans="2:29" customFormat="1" x14ac:dyDescent="0.25">
      <c r="B849" s="266"/>
      <c r="X849" s="154"/>
      <c r="Y849" s="165"/>
      <c r="Z849" s="6"/>
      <c r="AA849" s="6"/>
      <c r="AB849" s="6"/>
      <c r="AC849" s="6"/>
    </row>
    <row r="850" spans="2:29" customFormat="1" x14ac:dyDescent="0.25">
      <c r="B850" s="266"/>
      <c r="X850" s="154"/>
      <c r="Y850" s="165"/>
      <c r="Z850" s="6"/>
      <c r="AA850" s="6"/>
      <c r="AB850" s="6"/>
      <c r="AC850" s="6"/>
    </row>
    <row r="851" spans="2:29" customFormat="1" x14ac:dyDescent="0.25">
      <c r="B851" s="266"/>
      <c r="X851" s="154"/>
      <c r="Y851" s="165"/>
      <c r="Z851" s="6"/>
      <c r="AA851" s="6"/>
      <c r="AB851" s="6"/>
      <c r="AC851" s="6"/>
    </row>
    <row r="852" spans="2:29" customFormat="1" x14ac:dyDescent="0.25">
      <c r="B852" s="266"/>
      <c r="X852" s="154"/>
      <c r="Y852" s="165"/>
      <c r="Z852" s="6"/>
      <c r="AA852" s="6"/>
      <c r="AB852" s="6"/>
      <c r="AC852" s="6"/>
    </row>
    <row r="853" spans="2:29" customFormat="1" x14ac:dyDescent="0.25">
      <c r="B853" s="266"/>
      <c r="X853" s="154"/>
      <c r="Y853" s="165"/>
      <c r="Z853" s="6"/>
      <c r="AA853" s="6"/>
      <c r="AB853" s="6"/>
      <c r="AC853" s="6"/>
    </row>
    <row r="854" spans="2:29" customFormat="1" x14ac:dyDescent="0.25">
      <c r="B854" s="266"/>
      <c r="X854" s="154"/>
      <c r="Y854" s="165"/>
      <c r="Z854" s="6"/>
      <c r="AA854" s="6"/>
      <c r="AB854" s="6"/>
      <c r="AC854" s="6"/>
    </row>
    <row r="855" spans="2:29" customFormat="1" x14ac:dyDescent="0.25">
      <c r="B855" s="266"/>
      <c r="X855" s="154"/>
      <c r="Y855" s="165"/>
      <c r="Z855" s="6"/>
      <c r="AA855" s="6"/>
      <c r="AB855" s="6"/>
      <c r="AC855" s="6"/>
    </row>
    <row r="856" spans="2:29" customFormat="1" x14ac:dyDescent="0.25">
      <c r="B856" s="266"/>
      <c r="X856" s="154"/>
      <c r="Y856" s="165"/>
      <c r="Z856" s="6"/>
      <c r="AA856" s="6"/>
      <c r="AB856" s="6"/>
      <c r="AC856" s="6"/>
    </row>
    <row r="857" spans="2:29" customFormat="1" x14ac:dyDescent="0.25">
      <c r="B857" s="266"/>
      <c r="X857" s="154"/>
      <c r="Y857" s="165"/>
      <c r="Z857" s="6"/>
      <c r="AA857" s="6"/>
      <c r="AB857" s="6"/>
      <c r="AC857" s="6"/>
    </row>
    <row r="858" spans="2:29" customFormat="1" x14ac:dyDescent="0.25">
      <c r="B858" s="266"/>
      <c r="X858" s="154"/>
      <c r="Y858" s="165"/>
      <c r="Z858" s="6"/>
      <c r="AA858" s="6"/>
      <c r="AB858" s="6"/>
      <c r="AC858" s="6"/>
    </row>
    <row r="859" spans="2:29" customFormat="1" x14ac:dyDescent="0.25">
      <c r="B859" s="266"/>
      <c r="X859" s="154"/>
      <c r="Y859" s="165"/>
      <c r="Z859" s="6"/>
      <c r="AA859" s="6"/>
      <c r="AB859" s="6"/>
      <c r="AC859" s="6"/>
    </row>
    <row r="860" spans="2:29" customFormat="1" x14ac:dyDescent="0.25">
      <c r="B860" s="266"/>
      <c r="X860" s="154"/>
      <c r="Y860" s="165"/>
      <c r="Z860" s="6"/>
      <c r="AA860" s="6"/>
      <c r="AB860" s="6"/>
      <c r="AC860" s="6"/>
    </row>
    <row r="861" spans="2:29" customFormat="1" x14ac:dyDescent="0.25">
      <c r="B861" s="266"/>
      <c r="X861" s="154"/>
      <c r="Y861" s="165"/>
      <c r="Z861" s="6"/>
      <c r="AA861" s="6"/>
      <c r="AB861" s="6"/>
      <c r="AC861" s="6"/>
    </row>
    <row r="862" spans="2:29" customFormat="1" x14ac:dyDescent="0.25">
      <c r="B862" s="266"/>
      <c r="X862" s="154"/>
      <c r="Y862" s="165"/>
      <c r="Z862" s="6"/>
      <c r="AA862" s="6"/>
      <c r="AB862" s="6"/>
      <c r="AC862" s="6"/>
    </row>
    <row r="863" spans="2:29" customFormat="1" x14ac:dyDescent="0.25">
      <c r="B863" s="266"/>
      <c r="X863" s="154"/>
      <c r="Y863" s="165"/>
      <c r="Z863" s="6"/>
      <c r="AA863" s="6"/>
      <c r="AB863" s="6"/>
      <c r="AC863" s="6"/>
    </row>
    <row r="864" spans="2:29" customFormat="1" x14ac:dyDescent="0.25">
      <c r="B864" s="266"/>
      <c r="X864" s="154"/>
      <c r="Y864" s="165"/>
      <c r="Z864" s="6"/>
      <c r="AA864" s="6"/>
      <c r="AB864" s="6"/>
      <c r="AC864" s="6"/>
    </row>
    <row r="865" spans="2:29" customFormat="1" x14ac:dyDescent="0.25">
      <c r="B865" s="266"/>
      <c r="X865" s="154"/>
      <c r="Y865" s="165"/>
      <c r="Z865" s="6"/>
      <c r="AA865" s="6"/>
      <c r="AB865" s="6"/>
      <c r="AC865" s="6"/>
    </row>
    <row r="866" spans="2:29" customFormat="1" x14ac:dyDescent="0.25">
      <c r="B866" s="266"/>
      <c r="X866" s="154"/>
      <c r="Y866" s="165"/>
      <c r="Z866" s="6"/>
      <c r="AA866" s="6"/>
      <c r="AB866" s="6"/>
      <c r="AC866" s="6"/>
    </row>
    <row r="867" spans="2:29" customFormat="1" x14ac:dyDescent="0.25">
      <c r="B867" s="266"/>
      <c r="X867" s="154"/>
      <c r="Y867" s="165"/>
      <c r="Z867" s="6"/>
      <c r="AA867" s="6"/>
      <c r="AB867" s="6"/>
      <c r="AC867" s="6"/>
    </row>
    <row r="868" spans="2:29" customFormat="1" x14ac:dyDescent="0.25">
      <c r="B868" s="266"/>
      <c r="X868" s="154"/>
      <c r="Y868" s="165"/>
      <c r="Z868" s="6"/>
      <c r="AA868" s="6"/>
      <c r="AB868" s="6"/>
      <c r="AC868" s="6"/>
    </row>
    <row r="869" spans="2:29" customFormat="1" x14ac:dyDescent="0.25">
      <c r="B869" s="266"/>
      <c r="X869" s="154"/>
      <c r="Y869" s="165"/>
      <c r="Z869" s="6"/>
      <c r="AA869" s="6"/>
      <c r="AB869" s="6"/>
      <c r="AC869" s="6"/>
    </row>
    <row r="870" spans="2:29" customFormat="1" x14ac:dyDescent="0.25">
      <c r="B870" s="266"/>
      <c r="X870" s="154"/>
      <c r="Y870" s="165"/>
      <c r="Z870" s="6"/>
      <c r="AA870" s="6"/>
      <c r="AB870" s="6"/>
      <c r="AC870" s="6"/>
    </row>
    <row r="871" spans="2:29" customFormat="1" x14ac:dyDescent="0.25">
      <c r="B871" s="266"/>
      <c r="X871" s="154"/>
      <c r="Y871" s="165"/>
      <c r="Z871" s="6"/>
      <c r="AA871" s="6"/>
      <c r="AB871" s="6"/>
      <c r="AC871" s="6"/>
    </row>
    <row r="872" spans="2:29" customFormat="1" x14ac:dyDescent="0.25">
      <c r="B872" s="266"/>
      <c r="X872" s="154"/>
      <c r="Y872" s="165"/>
      <c r="Z872" s="6"/>
      <c r="AA872" s="6"/>
      <c r="AB872" s="6"/>
      <c r="AC872" s="6"/>
    </row>
    <row r="873" spans="2:29" customFormat="1" x14ac:dyDescent="0.25">
      <c r="B873" s="266"/>
      <c r="X873" s="154"/>
      <c r="Y873" s="165"/>
      <c r="Z873" s="6"/>
      <c r="AA873" s="6"/>
      <c r="AB873" s="6"/>
      <c r="AC873" s="6"/>
    </row>
    <row r="874" spans="2:29" customFormat="1" x14ac:dyDescent="0.25">
      <c r="B874" s="266"/>
      <c r="X874" s="154"/>
      <c r="Y874" s="165"/>
      <c r="Z874" s="6"/>
      <c r="AA874" s="6"/>
      <c r="AB874" s="6"/>
      <c r="AC874" s="6"/>
    </row>
    <row r="875" spans="2:29" customFormat="1" x14ac:dyDescent="0.25">
      <c r="B875" s="266"/>
      <c r="X875" s="154"/>
      <c r="Y875" s="165"/>
      <c r="Z875" s="6"/>
      <c r="AA875" s="6"/>
      <c r="AB875" s="6"/>
      <c r="AC875" s="6"/>
    </row>
    <row r="876" spans="2:29" customFormat="1" x14ac:dyDescent="0.25">
      <c r="B876" s="266"/>
      <c r="X876" s="154"/>
      <c r="Y876" s="165"/>
      <c r="Z876" s="6"/>
      <c r="AA876" s="6"/>
      <c r="AB876" s="6"/>
      <c r="AC876" s="6"/>
    </row>
    <row r="877" spans="2:29" customFormat="1" x14ac:dyDescent="0.25">
      <c r="B877" s="266"/>
      <c r="X877" s="154"/>
      <c r="Y877" s="165"/>
      <c r="Z877" s="6"/>
      <c r="AA877" s="6"/>
      <c r="AB877" s="6"/>
      <c r="AC877" s="6"/>
    </row>
    <row r="878" spans="2:29" customFormat="1" x14ac:dyDescent="0.25">
      <c r="B878" s="266"/>
      <c r="X878" s="154"/>
      <c r="Y878" s="165"/>
      <c r="Z878" s="6"/>
      <c r="AA878" s="6"/>
      <c r="AB878" s="6"/>
      <c r="AC878" s="6"/>
    </row>
    <row r="879" spans="2:29" customFormat="1" x14ac:dyDescent="0.25">
      <c r="B879" s="266"/>
      <c r="X879" s="154"/>
      <c r="Y879" s="165"/>
      <c r="Z879" s="6"/>
      <c r="AA879" s="6"/>
      <c r="AB879" s="6"/>
      <c r="AC879" s="6"/>
    </row>
    <row r="880" spans="2:29" customFormat="1" x14ac:dyDescent="0.25">
      <c r="B880" s="266"/>
      <c r="X880" s="154"/>
      <c r="Y880" s="165"/>
      <c r="Z880" s="6"/>
      <c r="AA880" s="6"/>
      <c r="AB880" s="6"/>
      <c r="AC880" s="6"/>
    </row>
    <row r="881" spans="2:29" customFormat="1" x14ac:dyDescent="0.25">
      <c r="B881" s="266"/>
      <c r="X881" s="154"/>
      <c r="Y881" s="165"/>
      <c r="Z881" s="6"/>
      <c r="AA881" s="6"/>
      <c r="AB881" s="6"/>
      <c r="AC881" s="6"/>
    </row>
    <row r="882" spans="2:29" customFormat="1" x14ac:dyDescent="0.25">
      <c r="B882" s="266"/>
      <c r="X882" s="154"/>
      <c r="Y882" s="165"/>
      <c r="Z882" s="6"/>
      <c r="AA882" s="6"/>
      <c r="AB882" s="6"/>
      <c r="AC882" s="6"/>
    </row>
    <row r="883" spans="2:29" customFormat="1" x14ac:dyDescent="0.25">
      <c r="B883" s="266"/>
      <c r="X883" s="154"/>
      <c r="Y883" s="165"/>
      <c r="Z883" s="6"/>
      <c r="AA883" s="6"/>
      <c r="AB883" s="6"/>
      <c r="AC883" s="6"/>
    </row>
    <row r="884" spans="2:29" customFormat="1" x14ac:dyDescent="0.25">
      <c r="B884" s="266"/>
      <c r="X884" s="154"/>
      <c r="Y884" s="165"/>
      <c r="Z884" s="6"/>
      <c r="AA884" s="6"/>
      <c r="AB884" s="6"/>
      <c r="AC884" s="6"/>
    </row>
    <row r="885" spans="2:29" customFormat="1" x14ac:dyDescent="0.25">
      <c r="B885" s="266"/>
      <c r="X885" s="154"/>
      <c r="Y885" s="165"/>
      <c r="Z885" s="6"/>
      <c r="AA885" s="6"/>
      <c r="AB885" s="6"/>
      <c r="AC885" s="6"/>
    </row>
    <row r="886" spans="2:29" customFormat="1" x14ac:dyDescent="0.25">
      <c r="B886" s="266"/>
      <c r="X886" s="154"/>
      <c r="Y886" s="165"/>
      <c r="Z886" s="6"/>
      <c r="AA886" s="6"/>
      <c r="AB886" s="6"/>
      <c r="AC886" s="6"/>
    </row>
    <row r="887" spans="2:29" customFormat="1" x14ac:dyDescent="0.25">
      <c r="B887" s="266"/>
      <c r="X887" s="154"/>
      <c r="Y887" s="165"/>
      <c r="Z887" s="6"/>
      <c r="AA887" s="6"/>
      <c r="AB887" s="6"/>
      <c r="AC887" s="6"/>
    </row>
    <row r="888" spans="2:29" customFormat="1" x14ac:dyDescent="0.25">
      <c r="B888" s="266"/>
      <c r="X888" s="154"/>
      <c r="Y888" s="165"/>
      <c r="Z888" s="6"/>
      <c r="AA888" s="6"/>
      <c r="AB888" s="6"/>
      <c r="AC888" s="6"/>
    </row>
    <row r="889" spans="2:29" customFormat="1" x14ac:dyDescent="0.25">
      <c r="B889" s="266"/>
      <c r="X889" s="154"/>
      <c r="Y889" s="165"/>
      <c r="Z889" s="6"/>
      <c r="AA889" s="6"/>
      <c r="AB889" s="6"/>
      <c r="AC889" s="6"/>
    </row>
    <row r="890" spans="2:29" customFormat="1" x14ac:dyDescent="0.25">
      <c r="B890" s="266"/>
      <c r="X890" s="154"/>
      <c r="Y890" s="165"/>
      <c r="Z890" s="6"/>
      <c r="AA890" s="6"/>
      <c r="AB890" s="6"/>
      <c r="AC890" s="6"/>
    </row>
    <row r="891" spans="2:29" customFormat="1" x14ac:dyDescent="0.25">
      <c r="B891" s="266"/>
      <c r="X891" s="154"/>
      <c r="Y891" s="165"/>
      <c r="Z891" s="6"/>
      <c r="AA891" s="6"/>
      <c r="AB891" s="6"/>
      <c r="AC891" s="6"/>
    </row>
    <row r="892" spans="2:29" customFormat="1" x14ac:dyDescent="0.25">
      <c r="B892" s="266"/>
      <c r="X892" s="154"/>
      <c r="Y892" s="165"/>
      <c r="Z892" s="6"/>
      <c r="AA892" s="6"/>
      <c r="AB892" s="6"/>
      <c r="AC892" s="6"/>
    </row>
    <row r="893" spans="2:29" customFormat="1" x14ac:dyDescent="0.25">
      <c r="B893" s="266"/>
      <c r="X893" s="154"/>
      <c r="Y893" s="165"/>
      <c r="Z893" s="6"/>
      <c r="AA893" s="6"/>
      <c r="AB893" s="6"/>
      <c r="AC893" s="6"/>
    </row>
    <row r="894" spans="2:29" customFormat="1" x14ac:dyDescent="0.25">
      <c r="B894" s="266"/>
      <c r="X894" s="154"/>
      <c r="Y894" s="165"/>
      <c r="Z894" s="6"/>
      <c r="AA894" s="6"/>
      <c r="AB894" s="6"/>
      <c r="AC894" s="6"/>
    </row>
    <row r="895" spans="2:29" customFormat="1" x14ac:dyDescent="0.25">
      <c r="B895" s="266"/>
      <c r="X895" s="154"/>
      <c r="Y895" s="165"/>
      <c r="Z895" s="6"/>
      <c r="AA895" s="6"/>
      <c r="AB895" s="6"/>
      <c r="AC895" s="6"/>
    </row>
    <row r="896" spans="2:29" customFormat="1" x14ac:dyDescent="0.25">
      <c r="B896" s="266"/>
      <c r="X896" s="154"/>
      <c r="Y896" s="165"/>
      <c r="Z896" s="6"/>
      <c r="AA896" s="6"/>
      <c r="AB896" s="6"/>
      <c r="AC896" s="6"/>
    </row>
    <row r="897" spans="2:29" customFormat="1" x14ac:dyDescent="0.25">
      <c r="B897" s="266"/>
      <c r="X897" s="154"/>
      <c r="Y897" s="165"/>
      <c r="Z897" s="6"/>
      <c r="AA897" s="6"/>
      <c r="AB897" s="6"/>
      <c r="AC897" s="6"/>
    </row>
    <row r="898" spans="2:29" customFormat="1" x14ac:dyDescent="0.25">
      <c r="B898" s="266"/>
      <c r="X898" s="154"/>
      <c r="Y898" s="165"/>
      <c r="Z898" s="6"/>
      <c r="AA898" s="6"/>
      <c r="AB898" s="6"/>
      <c r="AC898" s="6"/>
    </row>
    <row r="899" spans="2:29" customFormat="1" x14ac:dyDescent="0.25">
      <c r="B899" s="266"/>
      <c r="X899" s="154"/>
      <c r="Y899" s="165"/>
      <c r="Z899" s="6"/>
      <c r="AA899" s="6"/>
      <c r="AB899" s="6"/>
      <c r="AC899" s="6"/>
    </row>
    <row r="900" spans="2:29" customFormat="1" x14ac:dyDescent="0.25">
      <c r="B900" s="266"/>
      <c r="X900" s="154"/>
      <c r="Y900" s="165"/>
      <c r="Z900" s="6"/>
      <c r="AA900" s="6"/>
      <c r="AB900" s="6"/>
      <c r="AC900" s="6"/>
    </row>
    <row r="901" spans="2:29" customFormat="1" x14ac:dyDescent="0.25">
      <c r="B901" s="266"/>
      <c r="X901" s="154"/>
      <c r="Y901" s="165"/>
      <c r="Z901" s="6"/>
      <c r="AA901" s="6"/>
      <c r="AB901" s="6"/>
      <c r="AC901" s="6"/>
    </row>
    <row r="902" spans="2:29" customFormat="1" x14ac:dyDescent="0.25">
      <c r="B902" s="266"/>
      <c r="X902" s="154"/>
      <c r="Y902" s="165"/>
      <c r="Z902" s="6"/>
      <c r="AA902" s="6"/>
      <c r="AB902" s="6"/>
      <c r="AC902" s="6"/>
    </row>
    <row r="903" spans="2:29" customFormat="1" x14ac:dyDescent="0.25">
      <c r="B903" s="266"/>
      <c r="X903" s="154"/>
      <c r="Y903" s="165"/>
      <c r="Z903" s="6"/>
      <c r="AA903" s="6"/>
      <c r="AB903" s="6"/>
      <c r="AC903" s="6"/>
    </row>
    <row r="904" spans="2:29" customFormat="1" x14ac:dyDescent="0.25">
      <c r="B904" s="266"/>
      <c r="X904" s="154"/>
      <c r="Y904" s="165"/>
      <c r="Z904" s="6"/>
      <c r="AA904" s="6"/>
      <c r="AB904" s="6"/>
      <c r="AC904" s="6"/>
    </row>
    <row r="905" spans="2:29" customFormat="1" x14ac:dyDescent="0.25">
      <c r="B905" s="266"/>
      <c r="X905" s="154"/>
      <c r="Y905" s="165"/>
      <c r="Z905" s="6"/>
      <c r="AA905" s="6"/>
      <c r="AB905" s="6"/>
      <c r="AC905" s="6"/>
    </row>
    <row r="906" spans="2:29" customFormat="1" x14ac:dyDescent="0.25">
      <c r="B906" s="266"/>
      <c r="X906" s="154"/>
      <c r="Y906" s="165"/>
      <c r="Z906" s="6"/>
      <c r="AA906" s="6"/>
      <c r="AB906" s="6"/>
      <c r="AC906" s="6"/>
    </row>
    <row r="907" spans="2:29" customFormat="1" x14ac:dyDescent="0.25">
      <c r="B907" s="266"/>
      <c r="X907" s="154"/>
      <c r="Y907" s="165"/>
      <c r="Z907" s="6"/>
      <c r="AA907" s="6"/>
      <c r="AB907" s="6"/>
      <c r="AC907" s="6"/>
    </row>
    <row r="908" spans="2:29" customFormat="1" x14ac:dyDescent="0.25">
      <c r="B908" s="266"/>
      <c r="X908" s="154"/>
      <c r="Y908" s="165"/>
      <c r="Z908" s="6"/>
      <c r="AA908" s="6"/>
      <c r="AB908" s="6"/>
      <c r="AC908" s="6"/>
    </row>
    <row r="909" spans="2:29" customFormat="1" x14ac:dyDescent="0.25">
      <c r="B909" s="266"/>
      <c r="X909" s="154"/>
      <c r="Y909" s="165"/>
      <c r="Z909" s="6"/>
      <c r="AA909" s="6"/>
      <c r="AB909" s="6"/>
      <c r="AC909" s="6"/>
    </row>
    <row r="910" spans="2:29" customFormat="1" x14ac:dyDescent="0.25">
      <c r="B910" s="266"/>
      <c r="X910" s="154"/>
      <c r="Y910" s="165"/>
      <c r="Z910" s="6"/>
      <c r="AA910" s="6"/>
      <c r="AB910" s="6"/>
      <c r="AC910" s="6"/>
    </row>
    <row r="911" spans="2:29" customFormat="1" x14ac:dyDescent="0.25">
      <c r="B911" s="266"/>
      <c r="X911" s="154"/>
      <c r="Y911" s="165"/>
      <c r="Z911" s="6"/>
      <c r="AA911" s="6"/>
      <c r="AB911" s="6"/>
      <c r="AC911" s="6"/>
    </row>
    <row r="912" spans="2:29" customFormat="1" x14ac:dyDescent="0.25">
      <c r="B912" s="266"/>
      <c r="X912" s="154"/>
      <c r="Y912" s="165"/>
      <c r="Z912" s="6"/>
      <c r="AA912" s="6"/>
      <c r="AB912" s="6"/>
      <c r="AC912" s="6"/>
    </row>
    <row r="913" spans="2:29" customFormat="1" x14ac:dyDescent="0.25">
      <c r="B913" s="266"/>
      <c r="X913" s="154"/>
      <c r="Y913" s="165"/>
      <c r="Z913" s="6"/>
      <c r="AA913" s="6"/>
      <c r="AB913" s="6"/>
      <c r="AC913" s="6"/>
    </row>
    <row r="914" spans="2:29" customFormat="1" x14ac:dyDescent="0.25">
      <c r="B914" s="266"/>
      <c r="X914" s="154"/>
      <c r="Y914" s="165"/>
      <c r="Z914" s="6"/>
      <c r="AA914" s="6"/>
      <c r="AB914" s="6"/>
      <c r="AC914" s="6"/>
    </row>
    <row r="915" spans="2:29" customFormat="1" x14ac:dyDescent="0.25">
      <c r="B915" s="266"/>
      <c r="X915" s="154"/>
      <c r="Y915" s="165"/>
      <c r="Z915" s="6"/>
      <c r="AA915" s="6"/>
      <c r="AB915" s="6"/>
      <c r="AC915" s="6"/>
    </row>
    <row r="916" spans="2:29" customFormat="1" x14ac:dyDescent="0.25">
      <c r="B916" s="266"/>
      <c r="X916" s="154"/>
      <c r="Y916" s="165"/>
      <c r="Z916" s="6"/>
      <c r="AA916" s="6"/>
      <c r="AB916" s="6"/>
      <c r="AC916" s="6"/>
    </row>
    <row r="917" spans="2:29" customFormat="1" x14ac:dyDescent="0.25">
      <c r="B917" s="266"/>
      <c r="X917" s="154"/>
      <c r="Y917" s="165"/>
      <c r="Z917" s="6"/>
      <c r="AA917" s="6"/>
      <c r="AB917" s="6"/>
      <c r="AC917" s="6"/>
    </row>
    <row r="918" spans="2:29" customFormat="1" x14ac:dyDescent="0.25">
      <c r="B918" s="266"/>
      <c r="X918" s="154"/>
      <c r="Y918" s="165"/>
      <c r="Z918" s="6"/>
      <c r="AA918" s="6"/>
      <c r="AB918" s="6"/>
      <c r="AC918" s="6"/>
    </row>
    <row r="919" spans="2:29" customFormat="1" x14ac:dyDescent="0.25">
      <c r="B919" s="266"/>
      <c r="X919" s="154"/>
      <c r="Y919" s="165"/>
      <c r="Z919" s="6"/>
      <c r="AA919" s="6"/>
      <c r="AB919" s="6"/>
      <c r="AC919" s="6"/>
    </row>
    <row r="920" spans="2:29" customFormat="1" x14ac:dyDescent="0.25">
      <c r="B920" s="266"/>
      <c r="X920" s="154"/>
      <c r="Y920" s="165"/>
      <c r="Z920" s="6"/>
      <c r="AA920" s="6"/>
      <c r="AB920" s="6"/>
      <c r="AC920" s="6"/>
    </row>
    <row r="921" spans="2:29" customFormat="1" x14ac:dyDescent="0.25">
      <c r="B921" s="266"/>
      <c r="X921" s="154"/>
      <c r="Y921" s="165"/>
      <c r="Z921" s="6"/>
      <c r="AA921" s="6"/>
      <c r="AB921" s="6"/>
      <c r="AC921" s="6"/>
    </row>
    <row r="922" spans="2:29" customFormat="1" x14ac:dyDescent="0.25">
      <c r="B922" s="266"/>
      <c r="X922" s="154"/>
      <c r="Y922" s="165"/>
      <c r="Z922" s="6"/>
      <c r="AA922" s="6"/>
      <c r="AB922" s="6"/>
      <c r="AC922" s="6"/>
    </row>
    <row r="923" spans="2:29" customFormat="1" x14ac:dyDescent="0.25">
      <c r="B923" s="266"/>
      <c r="X923" s="154"/>
      <c r="Y923" s="165"/>
      <c r="Z923" s="6"/>
      <c r="AA923" s="6"/>
      <c r="AB923" s="6"/>
      <c r="AC923" s="6"/>
    </row>
    <row r="924" spans="2:29" customFormat="1" x14ac:dyDescent="0.25">
      <c r="B924" s="266"/>
      <c r="X924" s="154"/>
      <c r="Y924" s="165"/>
      <c r="Z924" s="6"/>
      <c r="AA924" s="6"/>
      <c r="AB924" s="6"/>
      <c r="AC924" s="6"/>
    </row>
    <row r="925" spans="2:29" customFormat="1" x14ac:dyDescent="0.25">
      <c r="B925" s="266"/>
      <c r="X925" s="154"/>
      <c r="Y925" s="165"/>
      <c r="Z925" s="6"/>
      <c r="AA925" s="6"/>
      <c r="AB925" s="6"/>
      <c r="AC925" s="6"/>
    </row>
    <row r="926" spans="2:29" customFormat="1" x14ac:dyDescent="0.25">
      <c r="B926" s="266"/>
      <c r="X926" s="154"/>
      <c r="Y926" s="165"/>
      <c r="Z926" s="6"/>
      <c r="AA926" s="6"/>
      <c r="AB926" s="6"/>
      <c r="AC926" s="6"/>
    </row>
    <row r="927" spans="2:29" customFormat="1" x14ac:dyDescent="0.25">
      <c r="B927" s="266"/>
      <c r="X927" s="154"/>
      <c r="Y927" s="165"/>
      <c r="Z927" s="6"/>
      <c r="AA927" s="6"/>
      <c r="AB927" s="6"/>
      <c r="AC927" s="6"/>
    </row>
    <row r="928" spans="2:29" customFormat="1" x14ac:dyDescent="0.25">
      <c r="B928" s="266"/>
      <c r="X928" s="154"/>
      <c r="Y928" s="165"/>
      <c r="Z928" s="6"/>
      <c r="AA928" s="6"/>
      <c r="AB928" s="6"/>
      <c r="AC928" s="6"/>
    </row>
    <row r="929" spans="2:29" customFormat="1" x14ac:dyDescent="0.25">
      <c r="B929" s="266"/>
      <c r="X929" s="154"/>
      <c r="Y929" s="165"/>
      <c r="Z929" s="6"/>
      <c r="AA929" s="6"/>
      <c r="AB929" s="6"/>
      <c r="AC929" s="6"/>
    </row>
    <row r="930" spans="2:29" customFormat="1" x14ac:dyDescent="0.25">
      <c r="B930" s="266"/>
      <c r="X930" s="154"/>
      <c r="Y930" s="165"/>
      <c r="Z930" s="6"/>
      <c r="AA930" s="6"/>
      <c r="AB930" s="6"/>
      <c r="AC930" s="6"/>
    </row>
    <row r="931" spans="2:29" customFormat="1" x14ac:dyDescent="0.25">
      <c r="B931" s="266"/>
      <c r="X931" s="154"/>
      <c r="Y931" s="165"/>
      <c r="Z931" s="6"/>
      <c r="AA931" s="6"/>
      <c r="AB931" s="6"/>
      <c r="AC931" s="6"/>
    </row>
    <row r="932" spans="2:29" customFormat="1" x14ac:dyDescent="0.25">
      <c r="B932" s="266"/>
      <c r="X932" s="154"/>
      <c r="Y932" s="165"/>
      <c r="Z932" s="6"/>
      <c r="AA932" s="6"/>
      <c r="AB932" s="6"/>
      <c r="AC932" s="6"/>
    </row>
    <row r="933" spans="2:29" customFormat="1" x14ac:dyDescent="0.25">
      <c r="B933" s="266"/>
      <c r="X933" s="154"/>
      <c r="Y933" s="165"/>
      <c r="Z933" s="6"/>
      <c r="AA933" s="6"/>
      <c r="AB933" s="6"/>
      <c r="AC933" s="6"/>
    </row>
    <row r="934" spans="2:29" customFormat="1" x14ac:dyDescent="0.25">
      <c r="B934" s="266"/>
      <c r="X934" s="154"/>
      <c r="Y934" s="165"/>
      <c r="Z934" s="6"/>
      <c r="AA934" s="6"/>
      <c r="AB934" s="6"/>
      <c r="AC934" s="6"/>
    </row>
    <row r="935" spans="2:29" customFormat="1" x14ac:dyDescent="0.25">
      <c r="B935" s="266"/>
      <c r="X935" s="154"/>
      <c r="Y935" s="165"/>
      <c r="Z935" s="6"/>
      <c r="AA935" s="6"/>
      <c r="AB935" s="6"/>
      <c r="AC935" s="6"/>
    </row>
    <row r="936" spans="2:29" customFormat="1" x14ac:dyDescent="0.25">
      <c r="B936" s="266"/>
      <c r="X936" s="154"/>
      <c r="Y936" s="165"/>
      <c r="Z936" s="6"/>
      <c r="AA936" s="6"/>
      <c r="AB936" s="6"/>
      <c r="AC936" s="6"/>
    </row>
    <row r="937" spans="2:29" customFormat="1" x14ac:dyDescent="0.25">
      <c r="B937" s="266"/>
      <c r="X937" s="154"/>
      <c r="Y937" s="165"/>
      <c r="Z937" s="6"/>
      <c r="AA937" s="6"/>
      <c r="AB937" s="6"/>
      <c r="AC937" s="6"/>
    </row>
    <row r="938" spans="2:29" customFormat="1" x14ac:dyDescent="0.25">
      <c r="B938" s="266"/>
      <c r="X938" s="154"/>
      <c r="Y938" s="165"/>
      <c r="Z938" s="6"/>
      <c r="AA938" s="6"/>
      <c r="AB938" s="6"/>
      <c r="AC938" s="6"/>
    </row>
    <row r="939" spans="2:29" customFormat="1" x14ac:dyDescent="0.25">
      <c r="B939" s="266"/>
      <c r="X939" s="154"/>
      <c r="Y939" s="165"/>
      <c r="Z939" s="6"/>
      <c r="AA939" s="6"/>
      <c r="AB939" s="6"/>
      <c r="AC939" s="6"/>
    </row>
    <row r="940" spans="2:29" customFormat="1" x14ac:dyDescent="0.25">
      <c r="B940" s="266"/>
      <c r="X940" s="154"/>
      <c r="Y940" s="165"/>
      <c r="Z940" s="6"/>
      <c r="AA940" s="6"/>
      <c r="AB940" s="6"/>
      <c r="AC940" s="6"/>
    </row>
    <row r="941" spans="2:29" customFormat="1" x14ac:dyDescent="0.25">
      <c r="B941" s="266"/>
      <c r="X941" s="154"/>
      <c r="Y941" s="165"/>
      <c r="Z941" s="6"/>
      <c r="AA941" s="6"/>
      <c r="AB941" s="6"/>
      <c r="AC941" s="6"/>
    </row>
    <row r="942" spans="2:29" customFormat="1" x14ac:dyDescent="0.25">
      <c r="B942" s="266"/>
      <c r="X942" s="154"/>
      <c r="Y942" s="165"/>
      <c r="Z942" s="6"/>
      <c r="AA942" s="6"/>
      <c r="AB942" s="6"/>
      <c r="AC942" s="6"/>
    </row>
    <row r="943" spans="2:29" customFormat="1" x14ac:dyDescent="0.25">
      <c r="B943" s="266"/>
      <c r="X943" s="154"/>
      <c r="Y943" s="165"/>
      <c r="Z943" s="6"/>
      <c r="AA943" s="6"/>
      <c r="AB943" s="6"/>
      <c r="AC943" s="6"/>
    </row>
    <row r="944" spans="2:29" customFormat="1" x14ac:dyDescent="0.25">
      <c r="B944" s="266"/>
      <c r="X944" s="154"/>
      <c r="Y944" s="165"/>
      <c r="Z944" s="6"/>
      <c r="AA944" s="6"/>
      <c r="AB944" s="6"/>
      <c r="AC944" s="6"/>
    </row>
    <row r="945" spans="2:29" customFormat="1" x14ac:dyDescent="0.25">
      <c r="B945" s="266"/>
      <c r="X945" s="154"/>
      <c r="Y945" s="165"/>
      <c r="Z945" s="6"/>
      <c r="AA945" s="6"/>
      <c r="AB945" s="6"/>
      <c r="AC945" s="6"/>
    </row>
    <row r="946" spans="2:29" customFormat="1" x14ac:dyDescent="0.25">
      <c r="B946" s="266"/>
      <c r="X946" s="154"/>
      <c r="Y946" s="165"/>
      <c r="Z946" s="6"/>
      <c r="AA946" s="6"/>
      <c r="AB946" s="6"/>
      <c r="AC946" s="6"/>
    </row>
    <row r="947" spans="2:29" customFormat="1" x14ac:dyDescent="0.25">
      <c r="B947" s="266"/>
      <c r="X947" s="154"/>
      <c r="Y947" s="165"/>
      <c r="Z947" s="6"/>
      <c r="AA947" s="6"/>
      <c r="AB947" s="6"/>
      <c r="AC947" s="6"/>
    </row>
    <row r="948" spans="2:29" customFormat="1" x14ac:dyDescent="0.25">
      <c r="B948" s="266"/>
      <c r="X948" s="154"/>
      <c r="Y948" s="165"/>
      <c r="Z948" s="6"/>
      <c r="AA948" s="6"/>
      <c r="AB948" s="6"/>
      <c r="AC948" s="6"/>
    </row>
    <row r="949" spans="2:29" customFormat="1" x14ac:dyDescent="0.25">
      <c r="B949" s="266"/>
      <c r="X949" s="154"/>
      <c r="Y949" s="165"/>
      <c r="Z949" s="6"/>
      <c r="AA949" s="6"/>
      <c r="AB949" s="6"/>
      <c r="AC949" s="6"/>
    </row>
    <row r="950" spans="2:29" customFormat="1" x14ac:dyDescent="0.25">
      <c r="B950" s="266"/>
      <c r="X950" s="154"/>
      <c r="Y950" s="165"/>
      <c r="Z950" s="6"/>
      <c r="AA950" s="6"/>
      <c r="AB950" s="6"/>
      <c r="AC950" s="6"/>
    </row>
    <row r="951" spans="2:29" customFormat="1" x14ac:dyDescent="0.25">
      <c r="B951" s="266"/>
      <c r="X951" s="154"/>
      <c r="Y951" s="165"/>
      <c r="Z951" s="6"/>
      <c r="AA951" s="6"/>
      <c r="AB951" s="6"/>
      <c r="AC951" s="6"/>
    </row>
    <row r="952" spans="2:29" customFormat="1" x14ac:dyDescent="0.25">
      <c r="B952" s="266"/>
      <c r="X952" s="154"/>
      <c r="Y952" s="165"/>
      <c r="Z952" s="6"/>
      <c r="AA952" s="6"/>
      <c r="AB952" s="6"/>
      <c r="AC952" s="6"/>
    </row>
    <row r="953" spans="2:29" customFormat="1" x14ac:dyDescent="0.25">
      <c r="B953" s="266"/>
      <c r="X953" s="154"/>
      <c r="Y953" s="165"/>
      <c r="Z953" s="6"/>
      <c r="AA953" s="6"/>
      <c r="AB953" s="6"/>
      <c r="AC953" s="6"/>
    </row>
    <row r="954" spans="2:29" customFormat="1" x14ac:dyDescent="0.25">
      <c r="B954" s="266"/>
      <c r="X954" s="154"/>
      <c r="Y954" s="165"/>
      <c r="Z954" s="6"/>
      <c r="AA954" s="6"/>
      <c r="AB954" s="6"/>
      <c r="AC954" s="6"/>
    </row>
    <row r="955" spans="2:29" customFormat="1" x14ac:dyDescent="0.25">
      <c r="B955" s="266"/>
      <c r="X955" s="154"/>
      <c r="Y955" s="165"/>
      <c r="Z955" s="6"/>
      <c r="AA955" s="6"/>
      <c r="AB955" s="6"/>
      <c r="AC955" s="6"/>
    </row>
    <row r="956" spans="2:29" customFormat="1" x14ac:dyDescent="0.25">
      <c r="B956" s="266"/>
      <c r="X956" s="154"/>
      <c r="Y956" s="165"/>
      <c r="Z956" s="6"/>
      <c r="AA956" s="6"/>
      <c r="AB956" s="6"/>
      <c r="AC956" s="6"/>
    </row>
    <row r="957" spans="2:29" customFormat="1" x14ac:dyDescent="0.25">
      <c r="B957" s="266"/>
      <c r="X957" s="154"/>
      <c r="Y957" s="165"/>
      <c r="Z957" s="6"/>
      <c r="AA957" s="6"/>
      <c r="AB957" s="6"/>
      <c r="AC957" s="6"/>
    </row>
    <row r="958" spans="2:29" customFormat="1" x14ac:dyDescent="0.25">
      <c r="B958" s="266"/>
      <c r="X958" s="154"/>
      <c r="Y958" s="165"/>
      <c r="Z958" s="6"/>
      <c r="AA958" s="6"/>
      <c r="AB958" s="6"/>
      <c r="AC958" s="6"/>
    </row>
    <row r="959" spans="2:29" customFormat="1" x14ac:dyDescent="0.25">
      <c r="B959" s="266"/>
      <c r="X959" s="154"/>
      <c r="Y959" s="165"/>
      <c r="Z959" s="6"/>
      <c r="AA959" s="6"/>
      <c r="AB959" s="6"/>
      <c r="AC959" s="6"/>
    </row>
    <row r="960" spans="2:29" customFormat="1" x14ac:dyDescent="0.25">
      <c r="B960" s="266"/>
      <c r="X960" s="154"/>
      <c r="Y960" s="165"/>
      <c r="Z960" s="6"/>
      <c r="AA960" s="6"/>
      <c r="AB960" s="6"/>
      <c r="AC960" s="6"/>
    </row>
    <row r="961" spans="2:29" customFormat="1" x14ac:dyDescent="0.25">
      <c r="B961" s="266"/>
      <c r="X961" s="154"/>
      <c r="Y961" s="165"/>
      <c r="Z961" s="6"/>
      <c r="AA961" s="6"/>
      <c r="AB961" s="6"/>
      <c r="AC961" s="6"/>
    </row>
    <row r="962" spans="2:29" customFormat="1" x14ac:dyDescent="0.25">
      <c r="B962" s="266"/>
      <c r="X962" s="154"/>
      <c r="Y962" s="165"/>
      <c r="Z962" s="6"/>
      <c r="AA962" s="6"/>
      <c r="AB962" s="6"/>
      <c r="AC962" s="6"/>
    </row>
    <row r="963" spans="2:29" customFormat="1" x14ac:dyDescent="0.25">
      <c r="B963" s="266"/>
      <c r="X963" s="154"/>
      <c r="Y963" s="165"/>
      <c r="Z963" s="6"/>
      <c r="AA963" s="6"/>
      <c r="AB963" s="6"/>
      <c r="AC963" s="6"/>
    </row>
    <row r="964" spans="2:29" customFormat="1" x14ac:dyDescent="0.25">
      <c r="B964" s="266"/>
      <c r="X964" s="154"/>
      <c r="Y964" s="165"/>
      <c r="Z964" s="6"/>
      <c r="AA964" s="6"/>
      <c r="AB964" s="6"/>
      <c r="AC964" s="6"/>
    </row>
    <row r="965" spans="2:29" customFormat="1" x14ac:dyDescent="0.25">
      <c r="B965" s="266"/>
      <c r="X965" s="154"/>
      <c r="Y965" s="165"/>
      <c r="Z965" s="6"/>
      <c r="AA965" s="6"/>
      <c r="AB965" s="6"/>
      <c r="AC965" s="6"/>
    </row>
    <row r="966" spans="2:29" customFormat="1" x14ac:dyDescent="0.25">
      <c r="B966" s="266"/>
      <c r="X966" s="154"/>
      <c r="Y966" s="165"/>
      <c r="Z966" s="6"/>
      <c r="AA966" s="6"/>
      <c r="AB966" s="6"/>
      <c r="AC966" s="6"/>
    </row>
    <row r="967" spans="2:29" customFormat="1" x14ac:dyDescent="0.25">
      <c r="B967" s="266"/>
      <c r="X967" s="154"/>
      <c r="Y967" s="165"/>
      <c r="Z967" s="6"/>
      <c r="AA967" s="6"/>
      <c r="AB967" s="6"/>
      <c r="AC967" s="6"/>
    </row>
    <row r="968" spans="2:29" customFormat="1" x14ac:dyDescent="0.25">
      <c r="B968" s="266"/>
      <c r="X968" s="154"/>
      <c r="Y968" s="165"/>
      <c r="Z968" s="6"/>
      <c r="AA968" s="6"/>
      <c r="AB968" s="6"/>
      <c r="AC968" s="6"/>
    </row>
    <row r="969" spans="2:29" customFormat="1" x14ac:dyDescent="0.25">
      <c r="B969" s="266"/>
      <c r="X969" s="154"/>
      <c r="Y969" s="165"/>
      <c r="Z969" s="6"/>
      <c r="AA969" s="6"/>
      <c r="AB969" s="6"/>
      <c r="AC969" s="6"/>
    </row>
    <row r="970" spans="2:29" customFormat="1" x14ac:dyDescent="0.25">
      <c r="B970" s="266"/>
      <c r="X970" s="154"/>
      <c r="Y970" s="165"/>
      <c r="Z970" s="6"/>
      <c r="AA970" s="6"/>
      <c r="AB970" s="6"/>
      <c r="AC970" s="6"/>
    </row>
    <row r="971" spans="2:29" customFormat="1" x14ac:dyDescent="0.25">
      <c r="B971" s="266"/>
      <c r="X971" s="154"/>
      <c r="Y971" s="165"/>
      <c r="Z971" s="6"/>
      <c r="AA971" s="6"/>
      <c r="AB971" s="6"/>
      <c r="AC971" s="6"/>
    </row>
    <row r="972" spans="2:29" customFormat="1" x14ac:dyDescent="0.25">
      <c r="B972" s="266"/>
      <c r="X972" s="154"/>
      <c r="Y972" s="165"/>
      <c r="Z972" s="6"/>
      <c r="AA972" s="6"/>
      <c r="AB972" s="6"/>
      <c r="AC972" s="6"/>
    </row>
    <row r="973" spans="2:29" customFormat="1" x14ac:dyDescent="0.25">
      <c r="B973" s="266"/>
      <c r="X973" s="154"/>
      <c r="Y973" s="165"/>
      <c r="Z973" s="6"/>
      <c r="AA973" s="6"/>
      <c r="AB973" s="6"/>
      <c r="AC973" s="6"/>
    </row>
    <row r="974" spans="2:29" customFormat="1" x14ac:dyDescent="0.25">
      <c r="B974" s="266"/>
      <c r="X974" s="154"/>
      <c r="Y974" s="165"/>
      <c r="Z974" s="6"/>
      <c r="AA974" s="6"/>
      <c r="AB974" s="6"/>
      <c r="AC974" s="6"/>
    </row>
    <row r="975" spans="2:29" customFormat="1" x14ac:dyDescent="0.25">
      <c r="B975" s="266"/>
      <c r="X975" s="154"/>
      <c r="Y975" s="165"/>
      <c r="Z975" s="6"/>
      <c r="AA975" s="6"/>
      <c r="AB975" s="6"/>
      <c r="AC975" s="6"/>
    </row>
    <row r="976" spans="2:29" customFormat="1" x14ac:dyDescent="0.25">
      <c r="B976" s="266"/>
      <c r="X976" s="154"/>
      <c r="Y976" s="165"/>
      <c r="Z976" s="6"/>
      <c r="AA976" s="6"/>
      <c r="AB976" s="6"/>
      <c r="AC976" s="6"/>
    </row>
    <row r="977" spans="2:29" customFormat="1" x14ac:dyDescent="0.25">
      <c r="B977" s="266"/>
      <c r="X977" s="154"/>
      <c r="Y977" s="165"/>
      <c r="Z977" s="6"/>
      <c r="AA977" s="6"/>
      <c r="AB977" s="6"/>
      <c r="AC977" s="6"/>
    </row>
    <row r="978" spans="2:29" customFormat="1" x14ac:dyDescent="0.25">
      <c r="B978" s="266"/>
      <c r="X978" s="154"/>
      <c r="Y978" s="165"/>
      <c r="Z978" s="6"/>
      <c r="AA978" s="6"/>
      <c r="AB978" s="6"/>
      <c r="AC978" s="6"/>
    </row>
    <row r="979" spans="2:29" customFormat="1" x14ac:dyDescent="0.25">
      <c r="B979" s="266"/>
      <c r="X979" s="154"/>
      <c r="Y979" s="165"/>
      <c r="Z979" s="6"/>
      <c r="AA979" s="6"/>
      <c r="AB979" s="6"/>
      <c r="AC979" s="6"/>
    </row>
    <row r="980" spans="2:29" customFormat="1" x14ac:dyDescent="0.25">
      <c r="B980" s="266"/>
      <c r="X980" s="154"/>
      <c r="Y980" s="165"/>
      <c r="Z980" s="6"/>
      <c r="AA980" s="6"/>
      <c r="AB980" s="6"/>
      <c r="AC980" s="6"/>
    </row>
    <row r="981" spans="2:29" customFormat="1" x14ac:dyDescent="0.25">
      <c r="B981" s="266"/>
      <c r="X981" s="154"/>
      <c r="Y981" s="165"/>
      <c r="Z981" s="6"/>
      <c r="AA981" s="6"/>
      <c r="AB981" s="6"/>
      <c r="AC981" s="6"/>
    </row>
    <row r="982" spans="2:29" customFormat="1" x14ac:dyDescent="0.25">
      <c r="B982" s="266"/>
      <c r="X982" s="154"/>
      <c r="Y982" s="165"/>
      <c r="Z982" s="6"/>
      <c r="AA982" s="6"/>
      <c r="AB982" s="6"/>
      <c r="AC982" s="6"/>
    </row>
    <row r="983" spans="2:29" customFormat="1" x14ac:dyDescent="0.25">
      <c r="B983" s="266"/>
      <c r="X983" s="154"/>
      <c r="Y983" s="165"/>
      <c r="Z983" s="6"/>
      <c r="AA983" s="6"/>
      <c r="AB983" s="6"/>
      <c r="AC983" s="6"/>
    </row>
    <row r="984" spans="2:29" customFormat="1" x14ac:dyDescent="0.25">
      <c r="B984" s="266"/>
      <c r="X984" s="154"/>
      <c r="Y984" s="165"/>
      <c r="Z984" s="6"/>
      <c r="AA984" s="6"/>
      <c r="AB984" s="6"/>
      <c r="AC984" s="6"/>
    </row>
    <row r="985" spans="2:29" customFormat="1" x14ac:dyDescent="0.25">
      <c r="B985" s="266"/>
      <c r="X985" s="154"/>
      <c r="Y985" s="165"/>
      <c r="Z985" s="6"/>
      <c r="AA985" s="6"/>
      <c r="AB985" s="6"/>
      <c r="AC985" s="6"/>
    </row>
    <row r="986" spans="2:29" customFormat="1" x14ac:dyDescent="0.25">
      <c r="B986" s="266"/>
      <c r="X986" s="154"/>
      <c r="Y986" s="165"/>
      <c r="Z986" s="6"/>
      <c r="AA986" s="6"/>
      <c r="AB986" s="6"/>
      <c r="AC986" s="6"/>
    </row>
    <row r="987" spans="2:29" customFormat="1" x14ac:dyDescent="0.25">
      <c r="B987" s="266"/>
      <c r="X987" s="154"/>
      <c r="Y987" s="165"/>
      <c r="Z987" s="6"/>
      <c r="AA987" s="6"/>
      <c r="AB987" s="6"/>
      <c r="AC987" s="6"/>
    </row>
    <row r="988" spans="2:29" customFormat="1" x14ac:dyDescent="0.25">
      <c r="B988" s="266"/>
      <c r="X988" s="154"/>
      <c r="Y988" s="165"/>
      <c r="Z988" s="6"/>
      <c r="AA988" s="6"/>
      <c r="AB988" s="6"/>
      <c r="AC988" s="6"/>
    </row>
    <row r="989" spans="2:29" customFormat="1" x14ac:dyDescent="0.25">
      <c r="B989" s="266"/>
      <c r="X989" s="154"/>
      <c r="Y989" s="165"/>
      <c r="Z989" s="6"/>
      <c r="AA989" s="6"/>
      <c r="AB989" s="6"/>
      <c r="AC989" s="6"/>
    </row>
    <row r="990" spans="2:29" customFormat="1" x14ac:dyDescent="0.25">
      <c r="B990" s="266"/>
      <c r="X990" s="154"/>
      <c r="Y990" s="165"/>
      <c r="Z990" s="6"/>
      <c r="AA990" s="6"/>
      <c r="AB990" s="6"/>
      <c r="AC990" s="6"/>
    </row>
    <row r="991" spans="2:29" customFormat="1" x14ac:dyDescent="0.25">
      <c r="B991" s="266"/>
      <c r="X991" s="154"/>
      <c r="Y991" s="165"/>
      <c r="Z991" s="6"/>
      <c r="AA991" s="6"/>
      <c r="AB991" s="6"/>
      <c r="AC991" s="6"/>
    </row>
    <row r="992" spans="2:29" customFormat="1" x14ac:dyDescent="0.25">
      <c r="B992" s="266"/>
      <c r="X992" s="154"/>
      <c r="Y992" s="165"/>
      <c r="Z992" s="6"/>
      <c r="AA992" s="6"/>
      <c r="AB992" s="6"/>
      <c r="AC992" s="6"/>
    </row>
    <row r="993" spans="2:29" customFormat="1" x14ac:dyDescent="0.25">
      <c r="B993" s="266"/>
      <c r="X993" s="154"/>
      <c r="Y993" s="165"/>
      <c r="Z993" s="6"/>
      <c r="AA993" s="6"/>
      <c r="AB993" s="6"/>
      <c r="AC993" s="6"/>
    </row>
    <row r="994" spans="2:29" customFormat="1" x14ac:dyDescent="0.25">
      <c r="B994" s="266"/>
      <c r="X994" s="154"/>
      <c r="Y994" s="165"/>
      <c r="Z994" s="6"/>
      <c r="AA994" s="6"/>
      <c r="AB994" s="6"/>
      <c r="AC994" s="6"/>
    </row>
    <row r="995" spans="2:29" customFormat="1" x14ac:dyDescent="0.25">
      <c r="B995" s="266"/>
      <c r="X995" s="154"/>
      <c r="Y995" s="165"/>
      <c r="Z995" s="6"/>
      <c r="AA995" s="6"/>
      <c r="AB995" s="6"/>
      <c r="AC995" s="6"/>
    </row>
    <row r="996" spans="2:29" customFormat="1" x14ac:dyDescent="0.25">
      <c r="B996" s="266"/>
      <c r="X996" s="154"/>
      <c r="Y996" s="165"/>
      <c r="Z996" s="6"/>
      <c r="AA996" s="6"/>
      <c r="AB996" s="6"/>
      <c r="AC996" s="6"/>
    </row>
    <row r="997" spans="2:29" customFormat="1" x14ac:dyDescent="0.25">
      <c r="B997" s="266"/>
      <c r="X997" s="154"/>
      <c r="Y997" s="165"/>
      <c r="Z997" s="6"/>
      <c r="AA997" s="6"/>
      <c r="AB997" s="6"/>
      <c r="AC997" s="6"/>
    </row>
    <row r="998" spans="2:29" customFormat="1" x14ac:dyDescent="0.25">
      <c r="B998" s="266"/>
      <c r="X998" s="154"/>
      <c r="Y998" s="165"/>
      <c r="Z998" s="6"/>
      <c r="AA998" s="6"/>
      <c r="AB998" s="6"/>
      <c r="AC998" s="6"/>
    </row>
    <row r="999" spans="2:29" customFormat="1" x14ac:dyDescent="0.25">
      <c r="B999" s="266"/>
      <c r="X999" s="154"/>
      <c r="Y999" s="165"/>
      <c r="Z999" s="6"/>
      <c r="AA999" s="6"/>
      <c r="AB999" s="6"/>
      <c r="AC999" s="6"/>
    </row>
    <row r="1000" spans="2:29" customFormat="1" x14ac:dyDescent="0.25">
      <c r="B1000" s="266"/>
      <c r="X1000" s="154"/>
      <c r="Y1000" s="165"/>
      <c r="Z1000" s="6"/>
      <c r="AA1000" s="6"/>
      <c r="AB1000" s="6"/>
      <c r="AC1000" s="6"/>
    </row>
    <row r="1001" spans="2:29" customFormat="1" x14ac:dyDescent="0.25">
      <c r="B1001" s="266"/>
      <c r="X1001" s="154"/>
      <c r="Y1001" s="165"/>
      <c r="Z1001" s="6"/>
      <c r="AA1001" s="6"/>
      <c r="AB1001" s="6"/>
      <c r="AC1001" s="6"/>
    </row>
    <row r="1002" spans="2:29" customFormat="1" x14ac:dyDescent="0.25">
      <c r="B1002" s="266"/>
      <c r="X1002" s="154"/>
      <c r="Y1002" s="165"/>
      <c r="Z1002" s="6"/>
      <c r="AA1002" s="6"/>
      <c r="AB1002" s="6"/>
      <c r="AC1002" s="6"/>
    </row>
    <row r="1003" spans="2:29" customFormat="1" x14ac:dyDescent="0.25">
      <c r="B1003" s="266"/>
      <c r="X1003" s="154"/>
      <c r="Y1003" s="165"/>
      <c r="Z1003" s="6"/>
      <c r="AA1003" s="6"/>
      <c r="AB1003" s="6"/>
      <c r="AC1003" s="6"/>
    </row>
    <row r="1004" spans="2:29" customFormat="1" x14ac:dyDescent="0.25">
      <c r="B1004" s="266"/>
      <c r="X1004" s="154"/>
      <c r="Y1004" s="165"/>
      <c r="Z1004" s="6"/>
      <c r="AA1004" s="6"/>
      <c r="AB1004" s="6"/>
      <c r="AC1004" s="6"/>
    </row>
    <row r="1005" spans="2:29" customFormat="1" x14ac:dyDescent="0.25">
      <c r="B1005" s="266"/>
      <c r="X1005" s="154"/>
      <c r="Y1005" s="165"/>
      <c r="Z1005" s="6"/>
      <c r="AA1005" s="6"/>
      <c r="AB1005" s="6"/>
      <c r="AC1005" s="6"/>
    </row>
    <row r="1006" spans="2:29" customFormat="1" x14ac:dyDescent="0.25">
      <c r="B1006" s="266"/>
      <c r="X1006" s="154"/>
      <c r="Y1006" s="165"/>
      <c r="Z1006" s="6"/>
      <c r="AA1006" s="6"/>
      <c r="AB1006" s="6"/>
      <c r="AC1006" s="6"/>
    </row>
    <row r="1007" spans="2:29" customFormat="1" x14ac:dyDescent="0.25">
      <c r="B1007" s="266"/>
      <c r="X1007" s="154"/>
      <c r="Y1007" s="165"/>
      <c r="Z1007" s="6"/>
      <c r="AA1007" s="6"/>
      <c r="AB1007" s="6"/>
      <c r="AC1007" s="6"/>
    </row>
    <row r="1008" spans="2:29" customFormat="1" x14ac:dyDescent="0.25">
      <c r="B1008" s="266"/>
      <c r="X1008" s="154"/>
      <c r="Y1008" s="165"/>
      <c r="Z1008" s="6"/>
      <c r="AA1008" s="6"/>
      <c r="AB1008" s="6"/>
      <c r="AC1008" s="6"/>
    </row>
    <row r="1009" spans="2:29" customFormat="1" x14ac:dyDescent="0.25">
      <c r="B1009" s="266"/>
      <c r="X1009" s="154"/>
      <c r="Y1009" s="165"/>
      <c r="Z1009" s="6"/>
      <c r="AA1009" s="6"/>
      <c r="AB1009" s="6"/>
      <c r="AC1009" s="6"/>
    </row>
    <row r="1010" spans="2:29" customFormat="1" x14ac:dyDescent="0.25">
      <c r="B1010" s="266"/>
      <c r="X1010" s="154"/>
      <c r="Y1010" s="165"/>
      <c r="Z1010" s="6"/>
      <c r="AA1010" s="6"/>
      <c r="AB1010" s="6"/>
      <c r="AC1010" s="6"/>
    </row>
    <row r="1011" spans="2:29" customFormat="1" x14ac:dyDescent="0.25">
      <c r="B1011" s="266"/>
      <c r="X1011" s="154"/>
      <c r="Y1011" s="165"/>
      <c r="Z1011" s="6"/>
      <c r="AA1011" s="6"/>
      <c r="AB1011" s="6"/>
      <c r="AC1011" s="6"/>
    </row>
    <row r="1012" spans="2:29" customFormat="1" x14ac:dyDescent="0.25">
      <c r="B1012" s="266"/>
      <c r="X1012" s="154"/>
      <c r="Y1012" s="165"/>
      <c r="Z1012" s="6"/>
      <c r="AA1012" s="6"/>
      <c r="AB1012" s="6"/>
      <c r="AC1012" s="6"/>
    </row>
    <row r="1013" spans="2:29" customFormat="1" x14ac:dyDescent="0.25">
      <c r="B1013" s="266"/>
      <c r="X1013" s="154"/>
      <c r="Y1013" s="165"/>
      <c r="Z1013" s="6"/>
      <c r="AA1013" s="6"/>
      <c r="AB1013" s="6"/>
      <c r="AC1013" s="6"/>
    </row>
    <row r="1014" spans="2:29" customFormat="1" x14ac:dyDescent="0.25">
      <c r="B1014" s="266"/>
      <c r="X1014" s="154"/>
      <c r="Y1014" s="165"/>
      <c r="Z1014" s="6"/>
      <c r="AA1014" s="6"/>
      <c r="AB1014" s="6"/>
      <c r="AC1014" s="6"/>
    </row>
    <row r="1015" spans="2:29" customFormat="1" x14ac:dyDescent="0.25">
      <c r="B1015" s="266"/>
      <c r="X1015" s="154"/>
      <c r="Y1015" s="165"/>
      <c r="Z1015" s="6"/>
      <c r="AA1015" s="6"/>
      <c r="AB1015" s="6"/>
      <c r="AC1015" s="6"/>
    </row>
    <row r="1016" spans="2:29" customFormat="1" x14ac:dyDescent="0.25">
      <c r="B1016" s="266"/>
      <c r="X1016" s="154"/>
      <c r="Y1016" s="165"/>
      <c r="Z1016" s="6"/>
      <c r="AA1016" s="6"/>
      <c r="AB1016" s="6"/>
      <c r="AC1016" s="6"/>
    </row>
    <row r="1017" spans="2:29" customFormat="1" x14ac:dyDescent="0.25">
      <c r="B1017" s="266"/>
      <c r="X1017" s="154"/>
      <c r="Y1017" s="165"/>
      <c r="Z1017" s="6"/>
      <c r="AA1017" s="6"/>
      <c r="AB1017" s="6"/>
      <c r="AC1017" s="6"/>
    </row>
    <row r="1018" spans="2:29" customFormat="1" x14ac:dyDescent="0.25">
      <c r="B1018" s="266"/>
      <c r="X1018" s="154"/>
      <c r="Y1018" s="165"/>
      <c r="Z1018" s="6"/>
      <c r="AA1018" s="6"/>
      <c r="AB1018" s="6"/>
      <c r="AC1018" s="6"/>
    </row>
    <row r="1019" spans="2:29" customFormat="1" x14ac:dyDescent="0.25">
      <c r="B1019" s="266"/>
      <c r="X1019" s="154"/>
      <c r="Y1019" s="165"/>
      <c r="Z1019" s="6"/>
      <c r="AA1019" s="6"/>
      <c r="AB1019" s="6"/>
      <c r="AC1019" s="6"/>
    </row>
    <row r="1020" spans="2:29" customFormat="1" x14ac:dyDescent="0.25">
      <c r="B1020" s="266"/>
      <c r="X1020" s="154"/>
      <c r="Y1020" s="165"/>
      <c r="Z1020" s="6"/>
      <c r="AA1020" s="6"/>
      <c r="AB1020" s="6"/>
      <c r="AC1020" s="6"/>
    </row>
    <row r="1021" spans="2:29" customFormat="1" x14ac:dyDescent="0.25">
      <c r="B1021" s="266"/>
      <c r="X1021" s="154"/>
      <c r="Y1021" s="165"/>
      <c r="Z1021" s="6"/>
      <c r="AA1021" s="6"/>
      <c r="AB1021" s="6"/>
      <c r="AC1021" s="6"/>
    </row>
    <row r="1022" spans="2:29" customFormat="1" x14ac:dyDescent="0.25">
      <c r="B1022" s="266"/>
      <c r="X1022" s="154"/>
      <c r="Y1022" s="165"/>
      <c r="Z1022" s="6"/>
      <c r="AA1022" s="6"/>
      <c r="AB1022" s="6"/>
      <c r="AC1022" s="6"/>
    </row>
    <row r="1023" spans="2:29" customFormat="1" x14ac:dyDescent="0.25">
      <c r="B1023" s="266"/>
      <c r="X1023" s="154"/>
      <c r="Y1023" s="165"/>
      <c r="Z1023" s="6"/>
      <c r="AA1023" s="6"/>
      <c r="AB1023" s="6"/>
      <c r="AC1023" s="6"/>
    </row>
    <row r="1024" spans="2:29" customFormat="1" x14ac:dyDescent="0.25">
      <c r="B1024" s="266"/>
      <c r="X1024" s="154"/>
      <c r="Y1024" s="165"/>
      <c r="Z1024" s="6"/>
      <c r="AA1024" s="6"/>
      <c r="AB1024" s="6"/>
      <c r="AC1024" s="6"/>
    </row>
    <row r="1025" spans="2:29" customFormat="1" x14ac:dyDescent="0.25">
      <c r="B1025" s="266"/>
      <c r="X1025" s="154"/>
      <c r="Y1025" s="165"/>
      <c r="Z1025" s="6"/>
      <c r="AA1025" s="6"/>
      <c r="AB1025" s="6"/>
      <c r="AC1025" s="6"/>
    </row>
    <row r="1026" spans="2:29" customFormat="1" x14ac:dyDescent="0.25">
      <c r="B1026" s="266"/>
      <c r="X1026" s="154"/>
      <c r="Y1026" s="165"/>
      <c r="Z1026" s="6"/>
      <c r="AA1026" s="6"/>
      <c r="AB1026" s="6"/>
      <c r="AC1026" s="6"/>
    </row>
    <row r="1027" spans="2:29" customFormat="1" x14ac:dyDescent="0.25">
      <c r="B1027" s="266"/>
      <c r="X1027" s="154"/>
      <c r="Y1027" s="165"/>
      <c r="Z1027" s="6"/>
      <c r="AA1027" s="6"/>
      <c r="AB1027" s="6"/>
      <c r="AC1027" s="6"/>
    </row>
    <row r="1028" spans="2:29" customFormat="1" x14ac:dyDescent="0.25">
      <c r="B1028" s="266"/>
      <c r="X1028" s="154"/>
      <c r="Y1028" s="165"/>
      <c r="Z1028" s="6"/>
      <c r="AA1028" s="6"/>
      <c r="AB1028" s="6"/>
      <c r="AC1028" s="6"/>
    </row>
    <row r="1029" spans="2:29" customFormat="1" x14ac:dyDescent="0.25">
      <c r="B1029" s="266"/>
      <c r="X1029" s="154"/>
      <c r="Y1029" s="165"/>
      <c r="Z1029" s="6"/>
      <c r="AA1029" s="6"/>
      <c r="AB1029" s="6"/>
      <c r="AC1029" s="6"/>
    </row>
    <row r="1030" spans="2:29" customFormat="1" x14ac:dyDescent="0.25">
      <c r="B1030" s="266"/>
      <c r="X1030" s="154"/>
      <c r="Y1030" s="165"/>
      <c r="Z1030" s="6"/>
      <c r="AA1030" s="6"/>
      <c r="AB1030" s="6"/>
      <c r="AC1030" s="6"/>
    </row>
    <row r="1031" spans="2:29" customFormat="1" x14ac:dyDescent="0.25">
      <c r="B1031" s="266"/>
      <c r="X1031" s="154"/>
      <c r="Y1031" s="165"/>
      <c r="Z1031" s="6"/>
      <c r="AA1031" s="6"/>
      <c r="AB1031" s="6"/>
      <c r="AC1031" s="6"/>
    </row>
    <row r="1032" spans="2:29" customFormat="1" x14ac:dyDescent="0.25">
      <c r="B1032" s="266"/>
      <c r="X1032" s="154"/>
      <c r="Y1032" s="165"/>
      <c r="Z1032" s="6"/>
      <c r="AA1032" s="6"/>
      <c r="AB1032" s="6"/>
      <c r="AC1032" s="6"/>
    </row>
    <row r="1033" spans="2:29" customFormat="1" x14ac:dyDescent="0.25">
      <c r="B1033" s="266"/>
      <c r="X1033" s="154"/>
      <c r="Y1033" s="165"/>
      <c r="Z1033" s="6"/>
      <c r="AA1033" s="6"/>
      <c r="AB1033" s="6"/>
      <c r="AC1033" s="6"/>
    </row>
    <row r="1034" spans="2:29" customFormat="1" x14ac:dyDescent="0.25">
      <c r="B1034" s="266"/>
      <c r="X1034" s="154"/>
      <c r="Y1034" s="165"/>
      <c r="Z1034" s="6"/>
      <c r="AA1034" s="6"/>
      <c r="AB1034" s="6"/>
      <c r="AC1034" s="6"/>
    </row>
    <row r="1035" spans="2:29" customFormat="1" x14ac:dyDescent="0.25">
      <c r="B1035" s="266"/>
      <c r="X1035" s="154"/>
      <c r="Y1035" s="165"/>
      <c r="Z1035" s="6"/>
      <c r="AA1035" s="6"/>
      <c r="AB1035" s="6"/>
      <c r="AC1035" s="6"/>
    </row>
    <row r="1036" spans="2:29" customFormat="1" x14ac:dyDescent="0.25">
      <c r="B1036" s="266"/>
      <c r="X1036" s="154"/>
      <c r="Y1036" s="165"/>
      <c r="Z1036" s="6"/>
      <c r="AA1036" s="6"/>
      <c r="AB1036" s="6"/>
      <c r="AC1036" s="6"/>
    </row>
    <row r="1037" spans="2:29" customFormat="1" x14ac:dyDescent="0.25">
      <c r="B1037" s="266"/>
      <c r="X1037" s="154"/>
      <c r="Y1037" s="165"/>
      <c r="Z1037" s="6"/>
      <c r="AA1037" s="6"/>
      <c r="AB1037" s="6"/>
      <c r="AC1037" s="6"/>
    </row>
    <row r="1038" spans="2:29" customFormat="1" x14ac:dyDescent="0.25">
      <c r="B1038" s="266"/>
      <c r="X1038" s="154"/>
      <c r="Y1038" s="165"/>
      <c r="Z1038" s="6"/>
      <c r="AA1038" s="6"/>
      <c r="AB1038" s="6"/>
      <c r="AC1038" s="6"/>
    </row>
    <row r="1039" spans="2:29" customFormat="1" x14ac:dyDescent="0.25">
      <c r="B1039" s="266"/>
      <c r="X1039" s="154"/>
      <c r="Y1039" s="165"/>
      <c r="Z1039" s="6"/>
      <c r="AA1039" s="6"/>
      <c r="AB1039" s="6"/>
      <c r="AC1039" s="6"/>
    </row>
    <row r="1040" spans="2:29" customFormat="1" x14ac:dyDescent="0.25">
      <c r="B1040" s="266"/>
      <c r="X1040" s="154"/>
      <c r="Y1040" s="165"/>
      <c r="Z1040" s="6"/>
      <c r="AA1040" s="6"/>
      <c r="AB1040" s="6"/>
      <c r="AC1040" s="6"/>
    </row>
    <row r="1041" spans="2:29" customFormat="1" x14ac:dyDescent="0.25">
      <c r="B1041" s="266"/>
      <c r="X1041" s="154"/>
      <c r="Y1041" s="165"/>
      <c r="Z1041" s="6"/>
      <c r="AA1041" s="6"/>
      <c r="AB1041" s="6"/>
      <c r="AC1041" s="6"/>
    </row>
    <row r="1042" spans="2:29" customFormat="1" x14ac:dyDescent="0.25">
      <c r="B1042" s="266"/>
      <c r="X1042" s="154"/>
      <c r="Y1042" s="165"/>
      <c r="Z1042" s="6"/>
      <c r="AA1042" s="6"/>
      <c r="AB1042" s="6"/>
      <c r="AC1042" s="6"/>
    </row>
    <row r="1043" spans="2:29" customFormat="1" x14ac:dyDescent="0.25">
      <c r="B1043" s="266"/>
      <c r="X1043" s="154"/>
      <c r="Y1043" s="165"/>
      <c r="Z1043" s="6"/>
      <c r="AA1043" s="6"/>
      <c r="AB1043" s="6"/>
      <c r="AC1043" s="6"/>
    </row>
    <row r="1044" spans="2:29" customFormat="1" x14ac:dyDescent="0.25">
      <c r="B1044" s="266"/>
      <c r="X1044" s="154"/>
      <c r="Y1044" s="165"/>
      <c r="Z1044" s="6"/>
      <c r="AA1044" s="6"/>
      <c r="AB1044" s="6"/>
      <c r="AC1044" s="6"/>
    </row>
    <row r="1045" spans="2:29" customFormat="1" x14ac:dyDescent="0.25">
      <c r="B1045" s="266"/>
      <c r="X1045" s="154"/>
      <c r="Y1045" s="165"/>
      <c r="Z1045" s="6"/>
      <c r="AA1045" s="6"/>
      <c r="AB1045" s="6"/>
      <c r="AC1045" s="6"/>
    </row>
    <row r="1046" spans="2:29" customFormat="1" x14ac:dyDescent="0.25">
      <c r="B1046" s="266"/>
      <c r="X1046" s="154"/>
      <c r="Y1046" s="165"/>
      <c r="Z1046" s="6"/>
      <c r="AA1046" s="6"/>
      <c r="AB1046" s="6"/>
      <c r="AC1046" s="6"/>
    </row>
    <row r="1047" spans="2:29" customFormat="1" x14ac:dyDescent="0.25">
      <c r="B1047" s="266"/>
      <c r="X1047" s="154"/>
      <c r="Y1047" s="165"/>
      <c r="Z1047" s="6"/>
      <c r="AA1047" s="6"/>
      <c r="AB1047" s="6"/>
      <c r="AC1047" s="6"/>
    </row>
    <row r="1048" spans="2:29" customFormat="1" x14ac:dyDescent="0.25">
      <c r="B1048" s="266"/>
      <c r="X1048" s="154"/>
      <c r="Y1048" s="165"/>
      <c r="Z1048" s="6"/>
      <c r="AA1048" s="6"/>
      <c r="AB1048" s="6"/>
      <c r="AC1048" s="6"/>
    </row>
    <row r="1049" spans="2:29" customFormat="1" x14ac:dyDescent="0.25">
      <c r="B1049" s="266"/>
      <c r="X1049" s="154"/>
      <c r="Y1049" s="165"/>
      <c r="Z1049" s="6"/>
      <c r="AA1049" s="6"/>
      <c r="AB1049" s="6"/>
      <c r="AC1049" s="6"/>
    </row>
    <row r="1050" spans="2:29" customFormat="1" x14ac:dyDescent="0.25">
      <c r="B1050" s="266"/>
      <c r="X1050" s="154"/>
      <c r="Y1050" s="165"/>
      <c r="Z1050" s="6"/>
      <c r="AA1050" s="6"/>
      <c r="AB1050" s="6"/>
      <c r="AC1050" s="6"/>
    </row>
    <row r="1051" spans="2:29" customFormat="1" x14ac:dyDescent="0.25">
      <c r="B1051" s="266"/>
      <c r="X1051" s="154"/>
      <c r="Y1051" s="165"/>
      <c r="Z1051" s="6"/>
      <c r="AA1051" s="6"/>
      <c r="AB1051" s="6"/>
      <c r="AC1051" s="6"/>
    </row>
    <row r="1052" spans="2:29" customFormat="1" x14ac:dyDescent="0.25">
      <c r="B1052" s="266"/>
      <c r="X1052" s="154"/>
      <c r="Y1052" s="165"/>
      <c r="Z1052" s="6"/>
      <c r="AA1052" s="6"/>
      <c r="AB1052" s="6"/>
      <c r="AC1052" s="6"/>
    </row>
    <row r="1053" spans="2:29" customFormat="1" x14ac:dyDescent="0.25">
      <c r="B1053" s="266"/>
      <c r="X1053" s="154"/>
      <c r="Y1053" s="165"/>
      <c r="Z1053" s="6"/>
      <c r="AA1053" s="6"/>
      <c r="AB1053" s="6"/>
      <c r="AC1053" s="6"/>
    </row>
    <row r="1054" spans="2:29" customFormat="1" x14ac:dyDescent="0.25">
      <c r="B1054" s="266"/>
      <c r="X1054" s="154"/>
      <c r="Y1054" s="165"/>
      <c r="Z1054" s="6"/>
      <c r="AA1054" s="6"/>
      <c r="AB1054" s="6"/>
      <c r="AC1054" s="6"/>
    </row>
    <row r="1055" spans="2:29" customFormat="1" x14ac:dyDescent="0.25">
      <c r="B1055" s="266"/>
      <c r="X1055" s="154"/>
      <c r="Y1055" s="165"/>
      <c r="Z1055" s="6"/>
      <c r="AA1055" s="6"/>
      <c r="AB1055" s="6"/>
      <c r="AC1055" s="6"/>
    </row>
    <row r="1056" spans="2:29" customFormat="1" x14ac:dyDescent="0.25">
      <c r="B1056" s="266"/>
      <c r="X1056" s="154"/>
      <c r="Y1056" s="165"/>
      <c r="Z1056" s="6"/>
      <c r="AA1056" s="6"/>
      <c r="AB1056" s="6"/>
      <c r="AC1056" s="6"/>
    </row>
    <row r="1057" spans="2:29" customFormat="1" x14ac:dyDescent="0.25">
      <c r="B1057" s="266"/>
      <c r="X1057" s="154"/>
      <c r="Y1057" s="165"/>
      <c r="Z1057" s="6"/>
      <c r="AA1057" s="6"/>
      <c r="AB1057" s="6"/>
      <c r="AC1057" s="6"/>
    </row>
    <row r="1058" spans="2:29" customFormat="1" x14ac:dyDescent="0.25">
      <c r="B1058" s="266"/>
      <c r="X1058" s="154"/>
      <c r="Y1058" s="165"/>
      <c r="Z1058" s="6"/>
      <c r="AA1058" s="6"/>
      <c r="AB1058" s="6"/>
      <c r="AC1058" s="6"/>
    </row>
    <row r="1059" spans="2:29" customFormat="1" x14ac:dyDescent="0.25">
      <c r="B1059" s="266"/>
      <c r="X1059" s="154"/>
      <c r="Y1059" s="165"/>
      <c r="Z1059" s="6"/>
      <c r="AA1059" s="6"/>
      <c r="AB1059" s="6"/>
      <c r="AC1059" s="6"/>
    </row>
    <row r="1060" spans="2:29" customFormat="1" x14ac:dyDescent="0.25">
      <c r="B1060" s="266"/>
      <c r="X1060" s="154"/>
      <c r="Y1060" s="165"/>
      <c r="Z1060" s="6"/>
      <c r="AA1060" s="6"/>
      <c r="AB1060" s="6"/>
      <c r="AC1060" s="6"/>
    </row>
    <row r="1061" spans="2:29" customFormat="1" x14ac:dyDescent="0.25">
      <c r="B1061" s="266"/>
      <c r="X1061" s="154"/>
      <c r="Y1061" s="165"/>
      <c r="Z1061" s="6"/>
      <c r="AA1061" s="6"/>
      <c r="AB1061" s="6"/>
      <c r="AC1061" s="6"/>
    </row>
    <row r="1062" spans="2:29" customFormat="1" x14ac:dyDescent="0.25">
      <c r="B1062" s="266"/>
      <c r="X1062" s="154"/>
      <c r="Y1062" s="165"/>
      <c r="Z1062" s="6"/>
      <c r="AA1062" s="6"/>
      <c r="AB1062" s="6"/>
      <c r="AC1062" s="6"/>
    </row>
    <row r="1063" spans="2:29" customFormat="1" x14ac:dyDescent="0.25">
      <c r="B1063" s="266"/>
      <c r="X1063" s="154"/>
      <c r="Y1063" s="165"/>
      <c r="Z1063" s="6"/>
      <c r="AA1063" s="6"/>
      <c r="AB1063" s="6"/>
      <c r="AC1063" s="6"/>
    </row>
    <row r="1064" spans="2:29" customFormat="1" x14ac:dyDescent="0.25">
      <c r="B1064" s="266"/>
      <c r="X1064" s="154"/>
      <c r="Y1064" s="165"/>
      <c r="Z1064" s="6"/>
      <c r="AA1064" s="6"/>
      <c r="AB1064" s="6"/>
      <c r="AC1064" s="6"/>
    </row>
    <row r="1065" spans="2:29" customFormat="1" x14ac:dyDescent="0.25">
      <c r="B1065" s="266"/>
      <c r="X1065" s="154"/>
      <c r="Y1065" s="165"/>
      <c r="Z1065" s="6"/>
      <c r="AA1065" s="6"/>
      <c r="AB1065" s="6"/>
      <c r="AC1065" s="6"/>
    </row>
    <row r="1066" spans="2:29" customFormat="1" x14ac:dyDescent="0.25">
      <c r="B1066" s="266"/>
      <c r="X1066" s="154"/>
      <c r="Y1066" s="165"/>
      <c r="Z1066" s="6"/>
      <c r="AA1066" s="6"/>
      <c r="AB1066" s="6"/>
      <c r="AC1066" s="6"/>
    </row>
    <row r="1067" spans="2:29" customFormat="1" x14ac:dyDescent="0.25">
      <c r="B1067" s="266"/>
      <c r="X1067" s="154"/>
      <c r="Y1067" s="165"/>
      <c r="Z1067" s="6"/>
      <c r="AA1067" s="6"/>
      <c r="AB1067" s="6"/>
      <c r="AC1067" s="6"/>
    </row>
    <row r="1068" spans="2:29" customFormat="1" x14ac:dyDescent="0.25">
      <c r="B1068" s="266"/>
      <c r="X1068" s="154"/>
      <c r="Y1068" s="165"/>
      <c r="Z1068" s="6"/>
      <c r="AA1068" s="6"/>
      <c r="AB1068" s="6"/>
      <c r="AC1068" s="6"/>
    </row>
    <row r="1069" spans="2:29" customFormat="1" x14ac:dyDescent="0.25">
      <c r="B1069" s="266"/>
      <c r="X1069" s="154"/>
      <c r="Y1069" s="165"/>
      <c r="Z1069" s="6"/>
      <c r="AA1069" s="6"/>
      <c r="AB1069" s="6"/>
      <c r="AC1069" s="6"/>
    </row>
    <row r="1070" spans="2:29" customFormat="1" x14ac:dyDescent="0.25">
      <c r="B1070" s="266"/>
      <c r="X1070" s="154"/>
      <c r="Y1070" s="165"/>
      <c r="Z1070" s="6"/>
      <c r="AA1070" s="6"/>
      <c r="AB1070" s="6"/>
      <c r="AC1070" s="6"/>
    </row>
    <row r="1071" spans="2:29" customFormat="1" x14ac:dyDescent="0.25">
      <c r="B1071" s="266"/>
      <c r="X1071" s="154"/>
      <c r="Y1071" s="165"/>
      <c r="Z1071" s="6"/>
      <c r="AA1071" s="6"/>
      <c r="AB1071" s="6"/>
      <c r="AC1071" s="6"/>
    </row>
    <row r="1072" spans="2:29" customFormat="1" x14ac:dyDescent="0.25">
      <c r="B1072" s="266"/>
      <c r="X1072" s="154"/>
      <c r="Y1072" s="165"/>
      <c r="Z1072" s="6"/>
      <c r="AA1072" s="6"/>
      <c r="AB1072" s="6"/>
      <c r="AC1072" s="6"/>
    </row>
    <row r="1073" spans="2:29" customFormat="1" x14ac:dyDescent="0.25">
      <c r="B1073" s="266"/>
      <c r="X1073" s="154"/>
      <c r="Y1073" s="165"/>
      <c r="Z1073" s="6"/>
      <c r="AA1073" s="6"/>
      <c r="AB1073" s="6"/>
      <c r="AC1073" s="6"/>
    </row>
    <row r="1074" spans="2:29" customFormat="1" x14ac:dyDescent="0.25">
      <c r="B1074" s="266"/>
      <c r="X1074" s="154"/>
      <c r="Y1074" s="165"/>
      <c r="Z1074" s="6"/>
      <c r="AA1074" s="6"/>
      <c r="AB1074" s="6"/>
      <c r="AC1074" s="6"/>
    </row>
    <row r="1075" spans="2:29" customFormat="1" x14ac:dyDescent="0.25">
      <c r="B1075" s="266"/>
      <c r="X1075" s="154"/>
      <c r="Y1075" s="165"/>
      <c r="Z1075" s="6"/>
      <c r="AA1075" s="6"/>
      <c r="AB1075" s="6"/>
      <c r="AC1075" s="6"/>
    </row>
    <row r="1076" spans="2:29" customFormat="1" x14ac:dyDescent="0.25">
      <c r="B1076" s="266"/>
      <c r="X1076" s="154"/>
      <c r="Y1076" s="165"/>
      <c r="Z1076" s="6"/>
      <c r="AA1076" s="6"/>
      <c r="AB1076" s="6"/>
      <c r="AC1076" s="6"/>
    </row>
    <row r="1077" spans="2:29" customFormat="1" x14ac:dyDescent="0.25">
      <c r="B1077" s="266"/>
      <c r="X1077" s="154"/>
      <c r="Y1077" s="165"/>
      <c r="Z1077" s="6"/>
      <c r="AA1077" s="6"/>
      <c r="AB1077" s="6"/>
      <c r="AC1077" s="6"/>
    </row>
    <row r="1078" spans="2:29" customFormat="1" x14ac:dyDescent="0.25">
      <c r="B1078" s="266"/>
      <c r="X1078" s="154"/>
      <c r="Y1078" s="165"/>
      <c r="Z1078" s="6"/>
      <c r="AA1078" s="6"/>
      <c r="AB1078" s="6"/>
      <c r="AC1078" s="6"/>
    </row>
    <row r="1079" spans="2:29" customFormat="1" x14ac:dyDescent="0.25">
      <c r="B1079" s="266"/>
      <c r="X1079" s="154"/>
      <c r="Y1079" s="165"/>
      <c r="Z1079" s="6"/>
      <c r="AA1079" s="6"/>
      <c r="AB1079" s="6"/>
      <c r="AC1079" s="6"/>
    </row>
    <row r="1080" spans="2:29" customFormat="1" x14ac:dyDescent="0.25">
      <c r="B1080" s="266"/>
      <c r="X1080" s="154"/>
      <c r="Y1080" s="165"/>
      <c r="Z1080" s="6"/>
      <c r="AA1080" s="6"/>
      <c r="AB1080" s="6"/>
      <c r="AC1080" s="6"/>
    </row>
    <row r="1081" spans="2:29" customFormat="1" x14ac:dyDescent="0.25">
      <c r="B1081" s="266"/>
      <c r="X1081" s="154"/>
      <c r="Y1081" s="165"/>
      <c r="Z1081" s="6"/>
      <c r="AA1081" s="6"/>
      <c r="AB1081" s="6"/>
      <c r="AC1081" s="6"/>
    </row>
    <row r="1082" spans="2:29" customFormat="1" x14ac:dyDescent="0.25">
      <c r="B1082" s="266"/>
      <c r="X1082" s="154"/>
      <c r="Y1082" s="165"/>
      <c r="Z1082" s="6"/>
      <c r="AA1082" s="6"/>
      <c r="AB1082" s="6"/>
      <c r="AC1082" s="6"/>
    </row>
    <row r="1083" spans="2:29" customFormat="1" x14ac:dyDescent="0.25">
      <c r="B1083" s="266"/>
      <c r="X1083" s="154"/>
      <c r="Y1083" s="165"/>
      <c r="Z1083" s="6"/>
      <c r="AA1083" s="6"/>
      <c r="AB1083" s="6"/>
      <c r="AC1083" s="6"/>
    </row>
    <row r="1084" spans="2:29" customFormat="1" x14ac:dyDescent="0.25">
      <c r="B1084" s="266"/>
      <c r="X1084" s="154"/>
      <c r="Y1084" s="165"/>
      <c r="Z1084" s="6"/>
      <c r="AA1084" s="6"/>
      <c r="AB1084" s="6"/>
      <c r="AC1084" s="6"/>
    </row>
    <row r="1085" spans="2:29" customFormat="1" x14ac:dyDescent="0.25">
      <c r="B1085" s="266"/>
      <c r="X1085" s="154"/>
      <c r="Y1085" s="165"/>
      <c r="Z1085" s="6"/>
      <c r="AA1085" s="6"/>
      <c r="AB1085" s="6"/>
      <c r="AC1085" s="6"/>
    </row>
    <row r="1086" spans="2:29" customFormat="1" x14ac:dyDescent="0.25">
      <c r="B1086" s="266"/>
      <c r="X1086" s="154"/>
      <c r="Y1086" s="165"/>
      <c r="Z1086" s="6"/>
      <c r="AA1086" s="6"/>
      <c r="AB1086" s="6"/>
      <c r="AC1086" s="6"/>
    </row>
    <row r="1087" spans="2:29" customFormat="1" x14ac:dyDescent="0.25">
      <c r="B1087" s="266"/>
      <c r="X1087" s="154"/>
      <c r="Y1087" s="165"/>
      <c r="Z1087" s="6"/>
      <c r="AA1087" s="6"/>
      <c r="AB1087" s="6"/>
      <c r="AC1087" s="6"/>
    </row>
    <row r="1088" spans="2:29" customFormat="1" x14ac:dyDescent="0.25">
      <c r="B1088" s="266"/>
      <c r="X1088" s="154"/>
      <c r="Y1088" s="165"/>
      <c r="Z1088" s="6"/>
      <c r="AA1088" s="6"/>
      <c r="AB1088" s="6"/>
      <c r="AC1088" s="6"/>
    </row>
    <row r="1089" spans="2:29" customFormat="1" x14ac:dyDescent="0.25">
      <c r="B1089" s="266"/>
      <c r="X1089" s="154"/>
      <c r="Y1089" s="165"/>
      <c r="Z1089" s="6"/>
      <c r="AA1089" s="6"/>
      <c r="AB1089" s="6"/>
      <c r="AC1089" s="6"/>
    </row>
    <row r="1090" spans="2:29" customFormat="1" x14ac:dyDescent="0.25">
      <c r="B1090" s="266"/>
      <c r="X1090" s="154"/>
      <c r="Y1090" s="165"/>
      <c r="Z1090" s="6"/>
      <c r="AA1090" s="6"/>
      <c r="AB1090" s="6"/>
      <c r="AC1090" s="6"/>
    </row>
    <row r="1091" spans="2:29" customFormat="1" x14ac:dyDescent="0.25">
      <c r="B1091" s="266"/>
      <c r="X1091" s="154"/>
      <c r="Y1091" s="165"/>
      <c r="Z1091" s="6"/>
      <c r="AA1091" s="6"/>
      <c r="AB1091" s="6"/>
      <c r="AC1091" s="6"/>
    </row>
    <row r="1092" spans="2:29" customFormat="1" x14ac:dyDescent="0.25">
      <c r="B1092" s="266"/>
      <c r="X1092" s="154"/>
      <c r="Y1092" s="165"/>
      <c r="Z1092" s="6"/>
      <c r="AA1092" s="6"/>
      <c r="AB1092" s="6"/>
      <c r="AC1092" s="6"/>
    </row>
    <row r="1093" spans="2:29" customFormat="1" x14ac:dyDescent="0.25">
      <c r="B1093" s="266"/>
      <c r="X1093" s="154"/>
      <c r="Y1093" s="165"/>
      <c r="Z1093" s="6"/>
      <c r="AA1093" s="6"/>
      <c r="AB1093" s="6"/>
      <c r="AC1093" s="6"/>
    </row>
    <row r="1094" spans="2:29" customFormat="1" x14ac:dyDescent="0.25">
      <c r="B1094" s="266"/>
      <c r="X1094" s="154"/>
      <c r="Y1094" s="165"/>
      <c r="Z1094" s="6"/>
      <c r="AA1094" s="6"/>
      <c r="AB1094" s="6"/>
      <c r="AC1094" s="6"/>
    </row>
    <row r="1095" spans="2:29" customFormat="1" x14ac:dyDescent="0.25">
      <c r="B1095" s="266"/>
      <c r="X1095" s="154"/>
      <c r="Y1095" s="165"/>
      <c r="Z1095" s="6"/>
      <c r="AA1095" s="6"/>
      <c r="AB1095" s="6"/>
      <c r="AC1095" s="6"/>
    </row>
    <row r="1096" spans="2:29" customFormat="1" x14ac:dyDescent="0.25">
      <c r="B1096" s="266"/>
      <c r="X1096" s="154"/>
      <c r="Y1096" s="165"/>
      <c r="Z1096" s="6"/>
      <c r="AA1096" s="6"/>
      <c r="AB1096" s="6"/>
      <c r="AC1096" s="6"/>
    </row>
    <row r="1097" spans="2:29" customFormat="1" x14ac:dyDescent="0.25">
      <c r="B1097" s="266"/>
      <c r="X1097" s="154"/>
      <c r="Y1097" s="165"/>
      <c r="Z1097" s="6"/>
      <c r="AA1097" s="6"/>
      <c r="AB1097" s="6"/>
      <c r="AC1097" s="6"/>
    </row>
    <row r="1098" spans="2:29" customFormat="1" x14ac:dyDescent="0.25">
      <c r="B1098" s="266"/>
      <c r="X1098" s="154"/>
      <c r="Y1098" s="165"/>
      <c r="Z1098" s="6"/>
      <c r="AA1098" s="6"/>
      <c r="AB1098" s="6"/>
      <c r="AC1098" s="6"/>
    </row>
    <row r="1099" spans="2:29" customFormat="1" x14ac:dyDescent="0.25">
      <c r="B1099" s="266"/>
      <c r="X1099" s="154"/>
      <c r="Y1099" s="165"/>
      <c r="Z1099" s="6"/>
      <c r="AA1099" s="6"/>
      <c r="AB1099" s="6"/>
      <c r="AC1099" s="6"/>
    </row>
    <row r="1100" spans="2:29" customFormat="1" x14ac:dyDescent="0.25">
      <c r="B1100" s="266"/>
      <c r="X1100" s="154"/>
      <c r="Y1100" s="165"/>
      <c r="Z1100" s="6"/>
      <c r="AA1100" s="6"/>
      <c r="AB1100" s="6"/>
      <c r="AC1100" s="6"/>
    </row>
    <row r="1101" spans="2:29" customFormat="1" x14ac:dyDescent="0.25">
      <c r="B1101" s="266"/>
      <c r="X1101" s="154"/>
      <c r="Y1101" s="165"/>
      <c r="Z1101" s="6"/>
      <c r="AA1101" s="6"/>
      <c r="AB1101" s="6"/>
      <c r="AC1101" s="6"/>
    </row>
    <row r="1102" spans="2:29" customFormat="1" x14ac:dyDescent="0.25">
      <c r="B1102" s="266"/>
      <c r="X1102" s="154"/>
      <c r="Y1102" s="165"/>
      <c r="Z1102" s="6"/>
      <c r="AA1102" s="6"/>
      <c r="AB1102" s="6"/>
      <c r="AC1102" s="6"/>
    </row>
    <row r="1103" spans="2:29" customFormat="1" x14ac:dyDescent="0.25">
      <c r="B1103" s="266"/>
      <c r="X1103" s="154"/>
      <c r="Y1103" s="165"/>
      <c r="Z1103" s="6"/>
      <c r="AA1103" s="6"/>
      <c r="AB1103" s="6"/>
      <c r="AC1103" s="6"/>
    </row>
    <row r="1104" spans="2:29" customFormat="1" x14ac:dyDescent="0.25">
      <c r="B1104" s="266"/>
      <c r="X1104" s="154"/>
      <c r="Y1104" s="165"/>
      <c r="Z1104" s="6"/>
      <c r="AA1104" s="6"/>
      <c r="AB1104" s="6"/>
      <c r="AC1104" s="6"/>
    </row>
    <row r="1105" spans="2:29" customFormat="1" x14ac:dyDescent="0.25">
      <c r="B1105" s="266"/>
      <c r="X1105" s="154"/>
      <c r="Y1105" s="165"/>
      <c r="Z1105" s="6"/>
      <c r="AA1105" s="6"/>
      <c r="AB1105" s="6"/>
      <c r="AC1105" s="6"/>
    </row>
    <row r="1106" spans="2:29" customFormat="1" x14ac:dyDescent="0.25">
      <c r="B1106" s="266"/>
      <c r="X1106" s="154"/>
      <c r="Y1106" s="165"/>
      <c r="Z1106" s="6"/>
      <c r="AA1106" s="6"/>
      <c r="AB1106" s="6"/>
      <c r="AC1106" s="6"/>
    </row>
    <row r="1107" spans="2:29" customFormat="1" x14ac:dyDescent="0.25">
      <c r="B1107" s="266"/>
      <c r="X1107" s="154"/>
      <c r="Y1107" s="165"/>
      <c r="Z1107" s="6"/>
      <c r="AA1107" s="6"/>
      <c r="AB1107" s="6"/>
      <c r="AC1107" s="6"/>
    </row>
    <row r="1108" spans="2:29" customFormat="1" x14ac:dyDescent="0.25">
      <c r="B1108" s="266"/>
      <c r="X1108" s="154"/>
      <c r="Y1108" s="165"/>
      <c r="Z1108" s="6"/>
      <c r="AA1108" s="6"/>
      <c r="AB1108" s="6"/>
      <c r="AC1108" s="6"/>
    </row>
    <row r="1109" spans="2:29" customFormat="1" x14ac:dyDescent="0.25">
      <c r="B1109" s="266"/>
      <c r="X1109" s="154"/>
      <c r="Y1109" s="165"/>
      <c r="Z1109" s="6"/>
      <c r="AA1109" s="6"/>
      <c r="AB1109" s="6"/>
      <c r="AC1109" s="6"/>
    </row>
    <row r="1110" spans="2:29" customFormat="1" x14ac:dyDescent="0.25">
      <c r="B1110" s="266"/>
      <c r="X1110" s="154"/>
      <c r="Y1110" s="165"/>
      <c r="Z1110" s="6"/>
      <c r="AA1110" s="6"/>
      <c r="AB1110" s="6"/>
      <c r="AC1110" s="6"/>
    </row>
    <row r="1111" spans="2:29" customFormat="1" x14ac:dyDescent="0.25">
      <c r="B1111" s="266"/>
      <c r="X1111" s="154"/>
      <c r="Y1111" s="165"/>
      <c r="Z1111" s="6"/>
      <c r="AA1111" s="6"/>
      <c r="AB1111" s="6"/>
      <c r="AC1111" s="6"/>
    </row>
    <row r="1112" spans="2:29" customFormat="1" x14ac:dyDescent="0.25">
      <c r="B1112" s="266"/>
      <c r="X1112" s="154"/>
      <c r="Y1112" s="165"/>
      <c r="Z1112" s="6"/>
      <c r="AA1112" s="6"/>
      <c r="AB1112" s="6"/>
      <c r="AC1112" s="6"/>
    </row>
    <row r="1113" spans="2:29" customFormat="1" x14ac:dyDescent="0.25">
      <c r="B1113" s="266"/>
      <c r="X1113" s="154"/>
      <c r="Y1113" s="165"/>
      <c r="Z1113" s="6"/>
      <c r="AA1113" s="6"/>
      <c r="AB1113" s="6"/>
      <c r="AC1113" s="6"/>
    </row>
    <row r="1114" spans="2:29" customFormat="1" x14ac:dyDescent="0.25">
      <c r="B1114" s="266"/>
      <c r="X1114" s="154"/>
      <c r="Y1114" s="165"/>
      <c r="Z1114" s="6"/>
      <c r="AA1114" s="6"/>
      <c r="AB1114" s="6"/>
      <c r="AC1114" s="6"/>
    </row>
    <row r="1115" spans="2:29" customFormat="1" x14ac:dyDescent="0.25">
      <c r="B1115" s="266"/>
      <c r="X1115" s="154"/>
      <c r="Y1115" s="165"/>
      <c r="Z1115" s="6"/>
      <c r="AA1115" s="6"/>
      <c r="AB1115" s="6"/>
      <c r="AC1115" s="6"/>
    </row>
    <row r="1116" spans="2:29" customFormat="1" x14ac:dyDescent="0.25">
      <c r="B1116" s="266"/>
      <c r="X1116" s="154"/>
      <c r="Y1116" s="165"/>
      <c r="Z1116" s="6"/>
      <c r="AA1116" s="6"/>
      <c r="AB1116" s="6"/>
      <c r="AC1116" s="6"/>
    </row>
    <row r="1117" spans="2:29" customFormat="1" x14ac:dyDescent="0.25">
      <c r="B1117" s="266"/>
      <c r="X1117" s="154"/>
      <c r="Y1117" s="165"/>
      <c r="Z1117" s="6"/>
      <c r="AA1117" s="6"/>
      <c r="AB1117" s="6"/>
      <c r="AC1117" s="6"/>
    </row>
    <row r="1118" spans="2:29" customFormat="1" x14ac:dyDescent="0.25">
      <c r="B1118" s="266"/>
      <c r="X1118" s="154"/>
      <c r="Y1118" s="165"/>
      <c r="Z1118" s="6"/>
      <c r="AA1118" s="6"/>
      <c r="AB1118" s="6"/>
      <c r="AC1118" s="6"/>
    </row>
    <row r="1119" spans="2:29" customFormat="1" x14ac:dyDescent="0.25">
      <c r="B1119" s="266"/>
      <c r="X1119" s="154"/>
      <c r="Y1119" s="165"/>
      <c r="Z1119" s="6"/>
      <c r="AA1119" s="6"/>
      <c r="AB1119" s="6"/>
      <c r="AC1119" s="6"/>
    </row>
    <row r="1120" spans="2:29" customFormat="1" x14ac:dyDescent="0.25">
      <c r="B1120" s="266"/>
      <c r="X1120" s="154"/>
      <c r="Y1120" s="165"/>
      <c r="Z1120" s="6"/>
      <c r="AA1120" s="6"/>
      <c r="AB1120" s="6"/>
      <c r="AC1120" s="6"/>
    </row>
    <row r="1121" spans="2:29" customFormat="1" x14ac:dyDescent="0.25">
      <c r="B1121" s="266"/>
      <c r="X1121" s="154"/>
      <c r="Y1121" s="165"/>
      <c r="Z1121" s="6"/>
      <c r="AA1121" s="6"/>
      <c r="AB1121" s="6"/>
      <c r="AC1121" s="6"/>
    </row>
    <row r="1122" spans="2:29" customFormat="1" x14ac:dyDescent="0.25">
      <c r="B1122" s="266"/>
      <c r="X1122" s="154"/>
      <c r="Y1122" s="165"/>
      <c r="Z1122" s="6"/>
      <c r="AA1122" s="6"/>
      <c r="AB1122" s="6"/>
      <c r="AC1122" s="6"/>
    </row>
    <row r="1123" spans="2:29" customFormat="1" x14ac:dyDescent="0.25">
      <c r="B1123" s="266"/>
      <c r="X1123" s="154"/>
      <c r="Y1123" s="165"/>
      <c r="Z1123" s="6"/>
      <c r="AA1123" s="6"/>
      <c r="AB1123" s="6"/>
      <c r="AC1123" s="6"/>
    </row>
    <row r="1124" spans="2:29" customFormat="1" x14ac:dyDescent="0.25">
      <c r="B1124" s="266"/>
      <c r="X1124" s="154"/>
      <c r="Y1124" s="165"/>
      <c r="Z1124" s="6"/>
      <c r="AA1124" s="6"/>
      <c r="AB1124" s="6"/>
      <c r="AC1124" s="6"/>
    </row>
    <row r="1125" spans="2:29" customFormat="1" x14ac:dyDescent="0.25">
      <c r="B1125" s="266"/>
      <c r="X1125" s="154"/>
      <c r="Y1125" s="165"/>
      <c r="Z1125" s="6"/>
      <c r="AA1125" s="6"/>
      <c r="AB1125" s="6"/>
      <c r="AC1125" s="6"/>
    </row>
    <row r="1126" spans="2:29" customFormat="1" x14ac:dyDescent="0.25">
      <c r="B1126" s="266"/>
      <c r="X1126" s="154"/>
      <c r="Y1126" s="165"/>
      <c r="Z1126" s="6"/>
      <c r="AA1126" s="6"/>
      <c r="AB1126" s="6"/>
      <c r="AC1126" s="6"/>
    </row>
    <row r="1127" spans="2:29" customFormat="1" x14ac:dyDescent="0.25">
      <c r="B1127" s="266"/>
      <c r="X1127" s="154"/>
      <c r="Y1127" s="165"/>
      <c r="Z1127" s="6"/>
      <c r="AA1127" s="6"/>
      <c r="AB1127" s="6"/>
      <c r="AC1127" s="6"/>
    </row>
    <row r="1128" spans="2:29" customFormat="1" x14ac:dyDescent="0.25">
      <c r="B1128" s="266"/>
      <c r="X1128" s="154"/>
      <c r="Y1128" s="165"/>
      <c r="Z1128" s="6"/>
      <c r="AA1128" s="6"/>
      <c r="AB1128" s="6"/>
      <c r="AC1128" s="6"/>
    </row>
    <row r="1129" spans="2:29" customFormat="1" x14ac:dyDescent="0.25">
      <c r="B1129" s="266"/>
      <c r="X1129" s="154"/>
      <c r="Y1129" s="165"/>
      <c r="Z1129" s="6"/>
      <c r="AA1129" s="6"/>
      <c r="AB1129" s="6"/>
      <c r="AC1129" s="6"/>
    </row>
    <row r="1130" spans="2:29" customFormat="1" x14ac:dyDescent="0.25">
      <c r="B1130" s="266"/>
      <c r="X1130" s="154"/>
      <c r="Y1130" s="165"/>
      <c r="Z1130" s="6"/>
      <c r="AA1130" s="6"/>
      <c r="AB1130" s="6"/>
      <c r="AC1130" s="6"/>
    </row>
    <row r="1131" spans="2:29" customFormat="1" x14ac:dyDescent="0.25">
      <c r="B1131" s="266"/>
      <c r="X1131" s="154"/>
      <c r="Y1131" s="165"/>
      <c r="Z1131" s="6"/>
      <c r="AA1131" s="6"/>
      <c r="AB1131" s="6"/>
      <c r="AC1131" s="6"/>
    </row>
    <row r="1132" spans="2:29" customFormat="1" x14ac:dyDescent="0.25">
      <c r="B1132" s="266"/>
      <c r="X1132" s="154"/>
      <c r="Y1132" s="165"/>
      <c r="Z1132" s="6"/>
      <c r="AA1132" s="6"/>
      <c r="AB1132" s="6"/>
      <c r="AC1132" s="6"/>
    </row>
    <row r="1133" spans="2:29" customFormat="1" x14ac:dyDescent="0.25">
      <c r="B1133" s="266"/>
      <c r="X1133" s="154"/>
      <c r="Y1133" s="165"/>
      <c r="Z1133" s="6"/>
      <c r="AA1133" s="6"/>
      <c r="AB1133" s="6"/>
      <c r="AC1133" s="6"/>
    </row>
    <row r="1134" spans="2:29" customFormat="1" x14ac:dyDescent="0.25">
      <c r="B1134" s="266"/>
      <c r="X1134" s="154"/>
      <c r="Y1134" s="165"/>
      <c r="Z1134" s="6"/>
      <c r="AA1134" s="6"/>
      <c r="AB1134" s="6"/>
      <c r="AC1134" s="6"/>
    </row>
    <row r="1135" spans="2:29" customFormat="1" x14ac:dyDescent="0.25">
      <c r="B1135" s="266"/>
      <c r="X1135" s="154"/>
      <c r="Y1135" s="165"/>
      <c r="Z1135" s="6"/>
      <c r="AA1135" s="6"/>
      <c r="AB1135" s="6"/>
      <c r="AC1135" s="6"/>
    </row>
    <row r="1136" spans="2:29" customFormat="1" x14ac:dyDescent="0.25">
      <c r="B1136" s="266"/>
      <c r="X1136" s="154"/>
      <c r="Y1136" s="165"/>
      <c r="Z1136" s="6"/>
      <c r="AA1136" s="6"/>
      <c r="AB1136" s="6"/>
      <c r="AC1136" s="6"/>
    </row>
    <row r="1137" spans="2:29" customFormat="1" x14ac:dyDescent="0.25">
      <c r="B1137" s="266"/>
      <c r="X1137" s="154"/>
      <c r="Y1137" s="165"/>
      <c r="Z1137" s="6"/>
      <c r="AA1137" s="6"/>
      <c r="AB1137" s="6"/>
      <c r="AC1137" s="6"/>
    </row>
    <row r="1138" spans="2:29" customFormat="1" x14ac:dyDescent="0.25">
      <c r="B1138" s="266"/>
      <c r="X1138" s="154"/>
      <c r="Y1138" s="165"/>
      <c r="Z1138" s="6"/>
      <c r="AA1138" s="6"/>
      <c r="AB1138" s="6"/>
      <c r="AC1138" s="6"/>
    </row>
    <row r="1139" spans="2:29" customFormat="1" x14ac:dyDescent="0.25">
      <c r="B1139" s="266"/>
      <c r="X1139" s="154"/>
      <c r="Y1139" s="165"/>
      <c r="Z1139" s="6"/>
      <c r="AA1139" s="6"/>
      <c r="AB1139" s="6"/>
      <c r="AC1139" s="6"/>
    </row>
    <row r="1140" spans="2:29" customFormat="1" x14ac:dyDescent="0.25">
      <c r="B1140" s="266"/>
      <c r="X1140" s="154"/>
      <c r="Y1140" s="165"/>
      <c r="Z1140" s="6"/>
      <c r="AA1140" s="6"/>
      <c r="AB1140" s="6"/>
      <c r="AC1140" s="6"/>
    </row>
    <row r="1141" spans="2:29" customFormat="1" x14ac:dyDescent="0.25">
      <c r="B1141" s="266"/>
      <c r="X1141" s="154"/>
      <c r="Y1141" s="165"/>
      <c r="Z1141" s="6"/>
      <c r="AA1141" s="6"/>
      <c r="AB1141" s="6"/>
      <c r="AC1141" s="6"/>
    </row>
    <row r="1142" spans="2:29" customFormat="1" x14ac:dyDescent="0.25">
      <c r="B1142" s="266"/>
      <c r="X1142" s="154"/>
      <c r="Y1142" s="165"/>
      <c r="Z1142" s="6"/>
      <c r="AA1142" s="6"/>
      <c r="AB1142" s="6"/>
      <c r="AC1142" s="6"/>
    </row>
    <row r="1143" spans="2:29" customFormat="1" x14ac:dyDescent="0.25">
      <c r="B1143" s="266"/>
      <c r="X1143" s="154"/>
      <c r="Y1143" s="165"/>
      <c r="Z1143" s="6"/>
      <c r="AA1143" s="6"/>
      <c r="AB1143" s="6"/>
      <c r="AC1143" s="6"/>
    </row>
    <row r="1144" spans="2:29" customFormat="1" x14ac:dyDescent="0.25">
      <c r="B1144" s="266"/>
      <c r="X1144" s="154"/>
      <c r="Y1144" s="165"/>
      <c r="Z1144" s="6"/>
      <c r="AA1144" s="6"/>
      <c r="AB1144" s="6"/>
      <c r="AC1144" s="6"/>
    </row>
    <row r="1145" spans="2:29" customFormat="1" x14ac:dyDescent="0.25">
      <c r="B1145" s="266"/>
      <c r="X1145" s="154"/>
      <c r="Y1145" s="165"/>
      <c r="Z1145" s="6"/>
      <c r="AA1145" s="6"/>
      <c r="AB1145" s="6"/>
      <c r="AC1145" s="6"/>
    </row>
    <row r="1146" spans="2:29" customFormat="1" x14ac:dyDescent="0.25">
      <c r="B1146" s="266"/>
      <c r="X1146" s="154"/>
      <c r="Y1146" s="165"/>
      <c r="Z1146" s="6"/>
      <c r="AA1146" s="6"/>
      <c r="AB1146" s="6"/>
      <c r="AC1146" s="6"/>
    </row>
    <row r="1147" spans="2:29" customFormat="1" x14ac:dyDescent="0.25">
      <c r="B1147" s="266"/>
      <c r="X1147" s="154"/>
      <c r="Y1147" s="165"/>
      <c r="Z1147" s="6"/>
      <c r="AA1147" s="6"/>
      <c r="AB1147" s="6"/>
      <c r="AC1147" s="6"/>
    </row>
    <row r="1148" spans="2:29" customFormat="1" x14ac:dyDescent="0.25">
      <c r="B1148" s="266"/>
      <c r="X1148" s="154"/>
      <c r="Y1148" s="165"/>
      <c r="Z1148" s="6"/>
      <c r="AA1148" s="6"/>
      <c r="AB1148" s="6"/>
      <c r="AC1148" s="6"/>
    </row>
    <row r="1149" spans="2:29" customFormat="1" x14ac:dyDescent="0.25">
      <c r="B1149" s="266"/>
      <c r="X1149" s="154"/>
      <c r="Y1149" s="165"/>
      <c r="Z1149" s="6"/>
      <c r="AA1149" s="6"/>
      <c r="AB1149" s="6"/>
      <c r="AC1149" s="6"/>
    </row>
    <row r="1150" spans="2:29" customFormat="1" x14ac:dyDescent="0.25">
      <c r="B1150" s="266"/>
      <c r="X1150" s="154"/>
      <c r="Y1150" s="165"/>
      <c r="Z1150" s="6"/>
      <c r="AA1150" s="6"/>
      <c r="AB1150" s="6"/>
      <c r="AC1150" s="6"/>
    </row>
    <row r="1151" spans="2:29" customFormat="1" x14ac:dyDescent="0.25">
      <c r="B1151" s="266"/>
      <c r="X1151" s="154"/>
      <c r="Y1151" s="165"/>
      <c r="Z1151" s="6"/>
      <c r="AA1151" s="6"/>
      <c r="AB1151" s="6"/>
      <c r="AC1151" s="6"/>
    </row>
    <row r="1152" spans="2:29" customFormat="1" x14ac:dyDescent="0.25">
      <c r="B1152" s="266"/>
      <c r="X1152" s="154"/>
      <c r="Y1152" s="165"/>
      <c r="Z1152" s="6"/>
      <c r="AA1152" s="6"/>
      <c r="AB1152" s="6"/>
      <c r="AC1152" s="6"/>
    </row>
    <row r="1153" spans="2:29" customFormat="1" x14ac:dyDescent="0.25">
      <c r="B1153" s="266"/>
      <c r="X1153" s="154"/>
      <c r="Y1153" s="165"/>
      <c r="Z1153" s="6"/>
      <c r="AA1153" s="6"/>
      <c r="AB1153" s="6"/>
      <c r="AC1153" s="6"/>
    </row>
    <row r="1154" spans="2:29" customFormat="1" x14ac:dyDescent="0.25">
      <c r="B1154" s="266"/>
      <c r="X1154" s="154"/>
      <c r="Y1154" s="165"/>
      <c r="Z1154" s="6"/>
      <c r="AA1154" s="6"/>
      <c r="AB1154" s="6"/>
      <c r="AC1154" s="6"/>
    </row>
    <row r="1155" spans="2:29" customFormat="1" x14ac:dyDescent="0.25">
      <c r="B1155" s="266"/>
      <c r="X1155" s="154"/>
      <c r="Y1155" s="165"/>
      <c r="Z1155" s="6"/>
      <c r="AA1155" s="6"/>
      <c r="AB1155" s="6"/>
      <c r="AC1155" s="6"/>
    </row>
    <row r="1156" spans="2:29" customFormat="1" x14ac:dyDescent="0.25">
      <c r="B1156" s="266"/>
      <c r="X1156" s="154"/>
      <c r="Y1156" s="165"/>
      <c r="Z1156" s="6"/>
      <c r="AA1156" s="6"/>
      <c r="AB1156" s="6"/>
      <c r="AC1156" s="6"/>
    </row>
    <row r="1157" spans="2:29" customFormat="1" x14ac:dyDescent="0.25">
      <c r="B1157" s="266"/>
      <c r="X1157" s="154"/>
      <c r="Y1157" s="165"/>
      <c r="Z1157" s="6"/>
      <c r="AA1157" s="6"/>
      <c r="AB1157" s="6"/>
      <c r="AC1157" s="6"/>
    </row>
    <row r="1158" spans="2:29" customFormat="1" x14ac:dyDescent="0.25">
      <c r="B1158" s="266"/>
      <c r="X1158" s="154"/>
      <c r="Y1158" s="165"/>
      <c r="Z1158" s="6"/>
      <c r="AA1158" s="6"/>
      <c r="AB1158" s="6"/>
      <c r="AC1158" s="6"/>
    </row>
    <row r="1159" spans="2:29" customFormat="1" x14ac:dyDescent="0.25">
      <c r="B1159" s="266"/>
      <c r="X1159" s="154"/>
      <c r="Y1159" s="165"/>
      <c r="Z1159" s="6"/>
      <c r="AA1159" s="6"/>
      <c r="AB1159" s="6"/>
      <c r="AC1159" s="6"/>
    </row>
    <row r="1160" spans="2:29" customFormat="1" x14ac:dyDescent="0.25">
      <c r="B1160" s="266"/>
      <c r="X1160" s="154"/>
      <c r="Y1160" s="165"/>
      <c r="Z1160" s="6"/>
      <c r="AA1160" s="6"/>
      <c r="AB1160" s="6"/>
      <c r="AC1160" s="6"/>
    </row>
    <row r="1161" spans="2:29" customFormat="1" x14ac:dyDescent="0.25">
      <c r="B1161" s="266"/>
      <c r="X1161" s="154"/>
      <c r="Y1161" s="165"/>
      <c r="Z1161" s="6"/>
      <c r="AA1161" s="6"/>
      <c r="AB1161" s="6"/>
      <c r="AC1161" s="6"/>
    </row>
    <row r="1162" spans="2:29" customFormat="1" x14ac:dyDescent="0.25">
      <c r="B1162" s="266"/>
      <c r="X1162" s="154"/>
      <c r="Y1162" s="165"/>
      <c r="Z1162" s="6"/>
      <c r="AA1162" s="6"/>
      <c r="AB1162" s="6"/>
      <c r="AC1162" s="6"/>
    </row>
    <row r="1163" spans="2:29" customFormat="1" x14ac:dyDescent="0.25">
      <c r="B1163" s="266"/>
      <c r="X1163" s="154"/>
      <c r="Y1163" s="165"/>
      <c r="Z1163" s="6"/>
      <c r="AA1163" s="6"/>
      <c r="AB1163" s="6"/>
      <c r="AC1163" s="6"/>
    </row>
    <row r="1164" spans="2:29" customFormat="1" x14ac:dyDescent="0.25">
      <c r="B1164" s="266"/>
      <c r="X1164" s="154"/>
      <c r="Y1164" s="165"/>
      <c r="Z1164" s="6"/>
      <c r="AA1164" s="6"/>
      <c r="AB1164" s="6"/>
      <c r="AC1164" s="6"/>
    </row>
    <row r="1165" spans="2:29" customFormat="1" x14ac:dyDescent="0.25">
      <c r="B1165" s="266"/>
      <c r="X1165" s="154"/>
      <c r="Y1165" s="165"/>
      <c r="Z1165" s="6"/>
      <c r="AA1165" s="6"/>
      <c r="AB1165" s="6"/>
      <c r="AC1165" s="6"/>
    </row>
    <row r="1166" spans="2:29" customFormat="1" x14ac:dyDescent="0.25">
      <c r="B1166" s="266"/>
      <c r="X1166" s="154"/>
      <c r="Y1166" s="165"/>
      <c r="Z1166" s="6"/>
      <c r="AA1166" s="6"/>
      <c r="AB1166" s="6"/>
      <c r="AC1166" s="6"/>
    </row>
    <row r="1167" spans="2:29" customFormat="1" x14ac:dyDescent="0.25">
      <c r="B1167" s="266"/>
      <c r="X1167" s="154"/>
      <c r="Y1167" s="165"/>
      <c r="Z1167" s="6"/>
      <c r="AA1167" s="6"/>
      <c r="AB1167" s="6"/>
      <c r="AC1167" s="6"/>
    </row>
    <row r="1168" spans="2:29" customFormat="1" x14ac:dyDescent="0.25">
      <c r="B1168" s="266"/>
      <c r="X1168" s="154"/>
      <c r="Y1168" s="165"/>
      <c r="Z1168" s="6"/>
      <c r="AA1168" s="6"/>
      <c r="AB1168" s="6"/>
      <c r="AC1168" s="6"/>
    </row>
    <row r="1169" spans="2:29" customFormat="1" x14ac:dyDescent="0.25">
      <c r="B1169" s="266"/>
      <c r="X1169" s="154"/>
      <c r="Y1169" s="165"/>
      <c r="Z1169" s="6"/>
      <c r="AA1169" s="6"/>
      <c r="AB1169" s="6"/>
      <c r="AC1169" s="6"/>
    </row>
    <row r="1170" spans="2:29" customFormat="1" x14ac:dyDescent="0.25">
      <c r="B1170" s="266"/>
      <c r="X1170" s="154"/>
      <c r="Y1170" s="165"/>
      <c r="Z1170" s="6"/>
      <c r="AA1170" s="6"/>
      <c r="AB1170" s="6"/>
      <c r="AC1170" s="6"/>
    </row>
    <row r="1171" spans="2:29" customFormat="1" x14ac:dyDescent="0.25">
      <c r="B1171" s="266"/>
      <c r="X1171" s="154"/>
      <c r="Y1171" s="165"/>
      <c r="Z1171" s="6"/>
      <c r="AA1171" s="6"/>
      <c r="AB1171" s="6"/>
      <c r="AC1171" s="6"/>
    </row>
    <row r="1172" spans="2:29" customFormat="1" x14ac:dyDescent="0.25">
      <c r="B1172" s="266"/>
      <c r="X1172" s="154"/>
      <c r="Y1172" s="165"/>
      <c r="Z1172" s="6"/>
      <c r="AA1172" s="6"/>
      <c r="AB1172" s="6"/>
      <c r="AC1172" s="6"/>
    </row>
    <row r="1173" spans="2:29" customFormat="1" x14ac:dyDescent="0.25">
      <c r="B1173" s="266"/>
      <c r="X1173" s="154"/>
      <c r="Y1173" s="165"/>
      <c r="Z1173" s="6"/>
      <c r="AA1173" s="6"/>
      <c r="AB1173" s="6"/>
      <c r="AC1173" s="6"/>
    </row>
    <row r="1174" spans="2:29" customFormat="1" x14ac:dyDescent="0.25">
      <c r="B1174" s="266"/>
      <c r="X1174" s="154"/>
      <c r="Y1174" s="165"/>
      <c r="Z1174" s="6"/>
      <c r="AA1174" s="6"/>
      <c r="AB1174" s="6"/>
      <c r="AC1174" s="6"/>
    </row>
    <row r="1175" spans="2:29" customFormat="1" x14ac:dyDescent="0.25">
      <c r="B1175" s="266"/>
      <c r="X1175" s="154"/>
      <c r="Y1175" s="165"/>
      <c r="Z1175" s="6"/>
      <c r="AA1175" s="6"/>
      <c r="AB1175" s="6"/>
      <c r="AC1175" s="6"/>
    </row>
    <row r="1176" spans="2:29" customFormat="1" x14ac:dyDescent="0.25">
      <c r="B1176" s="266"/>
      <c r="X1176" s="154"/>
      <c r="Y1176" s="165"/>
      <c r="Z1176" s="6"/>
      <c r="AA1176" s="6"/>
      <c r="AB1176" s="6"/>
      <c r="AC1176" s="6"/>
    </row>
    <row r="1177" spans="2:29" customFormat="1" x14ac:dyDescent="0.25">
      <c r="B1177" s="266"/>
      <c r="X1177" s="154"/>
      <c r="Y1177" s="165"/>
      <c r="Z1177" s="6"/>
      <c r="AA1177" s="6"/>
      <c r="AB1177" s="6"/>
      <c r="AC1177" s="6"/>
    </row>
    <row r="1178" spans="2:29" customFormat="1" x14ac:dyDescent="0.25">
      <c r="B1178" s="266"/>
      <c r="X1178" s="154"/>
      <c r="Y1178" s="165"/>
      <c r="Z1178" s="6"/>
      <c r="AA1178" s="6"/>
      <c r="AB1178" s="6"/>
      <c r="AC1178" s="6"/>
    </row>
    <row r="1179" spans="2:29" customFormat="1" x14ac:dyDescent="0.25">
      <c r="B1179" s="266"/>
      <c r="X1179" s="154"/>
      <c r="Y1179" s="165"/>
      <c r="Z1179" s="6"/>
      <c r="AA1179" s="6"/>
      <c r="AB1179" s="6"/>
      <c r="AC1179" s="6"/>
    </row>
    <row r="1180" spans="2:29" customFormat="1" x14ac:dyDescent="0.25">
      <c r="B1180" s="266"/>
      <c r="X1180" s="154"/>
      <c r="Y1180" s="165"/>
      <c r="Z1180" s="6"/>
      <c r="AA1180" s="6"/>
      <c r="AB1180" s="6"/>
      <c r="AC1180" s="6"/>
    </row>
    <row r="1181" spans="2:29" customFormat="1" x14ac:dyDescent="0.25">
      <c r="B1181" s="266"/>
      <c r="X1181" s="154"/>
      <c r="Y1181" s="165"/>
      <c r="Z1181" s="6"/>
      <c r="AA1181" s="6"/>
      <c r="AB1181" s="6"/>
      <c r="AC1181" s="6"/>
    </row>
    <row r="1182" spans="2:29" customFormat="1" x14ac:dyDescent="0.25">
      <c r="B1182" s="266"/>
      <c r="X1182" s="154"/>
      <c r="Y1182" s="165"/>
      <c r="Z1182" s="6"/>
      <c r="AA1182" s="6"/>
      <c r="AB1182" s="6"/>
      <c r="AC1182" s="6"/>
    </row>
    <row r="1183" spans="2:29" customFormat="1" x14ac:dyDescent="0.25">
      <c r="B1183" s="266"/>
      <c r="X1183" s="154"/>
      <c r="Y1183" s="165"/>
      <c r="Z1183" s="6"/>
      <c r="AA1183" s="6"/>
      <c r="AB1183" s="6"/>
      <c r="AC1183" s="6"/>
    </row>
    <row r="1184" spans="2:29" customFormat="1" x14ac:dyDescent="0.25">
      <c r="B1184" s="266"/>
      <c r="X1184" s="154"/>
      <c r="Y1184" s="165"/>
      <c r="Z1184" s="6"/>
      <c r="AA1184" s="6"/>
      <c r="AB1184" s="6"/>
      <c r="AC1184" s="6"/>
    </row>
    <row r="1185" spans="2:29" customFormat="1" x14ac:dyDescent="0.25">
      <c r="B1185" s="266"/>
      <c r="X1185" s="154"/>
      <c r="Y1185" s="165"/>
      <c r="Z1185" s="6"/>
      <c r="AA1185" s="6"/>
      <c r="AB1185" s="6"/>
      <c r="AC1185" s="6"/>
    </row>
    <row r="1186" spans="2:29" customFormat="1" x14ac:dyDescent="0.25">
      <c r="B1186" s="266"/>
      <c r="X1186" s="154"/>
      <c r="Y1186" s="165"/>
      <c r="Z1186" s="6"/>
      <c r="AA1186" s="6"/>
      <c r="AB1186" s="6"/>
      <c r="AC1186" s="6"/>
    </row>
    <row r="1187" spans="2:29" customFormat="1" x14ac:dyDescent="0.25">
      <c r="B1187" s="266"/>
      <c r="X1187" s="154"/>
      <c r="Y1187" s="165"/>
      <c r="Z1187" s="6"/>
      <c r="AA1187" s="6"/>
      <c r="AB1187" s="6"/>
      <c r="AC1187" s="6"/>
    </row>
    <row r="1188" spans="2:29" customFormat="1" x14ac:dyDescent="0.25">
      <c r="B1188" s="266"/>
      <c r="X1188" s="154"/>
      <c r="Y1188" s="165"/>
      <c r="Z1188" s="6"/>
      <c r="AA1188" s="6"/>
      <c r="AB1188" s="6"/>
      <c r="AC1188" s="6"/>
    </row>
    <row r="1189" spans="2:29" customFormat="1" x14ac:dyDescent="0.25">
      <c r="B1189" s="266"/>
      <c r="X1189" s="154"/>
      <c r="Y1189" s="165"/>
      <c r="Z1189" s="6"/>
      <c r="AA1189" s="6"/>
      <c r="AB1189" s="6"/>
      <c r="AC1189" s="6"/>
    </row>
    <row r="1190" spans="2:29" customFormat="1" x14ac:dyDescent="0.25">
      <c r="B1190" s="266"/>
      <c r="X1190" s="154"/>
      <c r="Y1190" s="165"/>
      <c r="Z1190" s="6"/>
      <c r="AA1190" s="6"/>
      <c r="AB1190" s="6"/>
      <c r="AC1190" s="6"/>
    </row>
    <row r="1191" spans="2:29" customFormat="1" x14ac:dyDescent="0.25">
      <c r="B1191" s="266"/>
      <c r="X1191" s="154"/>
      <c r="Y1191" s="165"/>
      <c r="Z1191" s="6"/>
      <c r="AA1191" s="6"/>
      <c r="AB1191" s="6"/>
      <c r="AC1191" s="6"/>
    </row>
    <row r="1192" spans="2:29" customFormat="1" x14ac:dyDescent="0.25">
      <c r="B1192" s="266"/>
      <c r="X1192" s="154"/>
      <c r="Y1192" s="165"/>
      <c r="Z1192" s="6"/>
      <c r="AA1192" s="6"/>
      <c r="AB1192" s="6"/>
      <c r="AC1192" s="6"/>
    </row>
    <row r="1193" spans="2:29" customFormat="1" x14ac:dyDescent="0.25">
      <c r="B1193" s="266"/>
      <c r="X1193" s="154"/>
      <c r="Y1193" s="165"/>
      <c r="Z1193" s="6"/>
      <c r="AA1193" s="6"/>
      <c r="AB1193" s="6"/>
      <c r="AC1193" s="6"/>
    </row>
    <row r="1194" spans="2:29" customFormat="1" x14ac:dyDescent="0.25">
      <c r="B1194" s="266"/>
      <c r="X1194" s="154"/>
      <c r="Y1194" s="165"/>
      <c r="Z1194" s="6"/>
      <c r="AA1194" s="6"/>
      <c r="AB1194" s="6"/>
      <c r="AC1194" s="6"/>
    </row>
    <row r="1195" spans="2:29" customFormat="1" x14ac:dyDescent="0.25">
      <c r="B1195" s="266"/>
      <c r="X1195" s="154"/>
      <c r="Y1195" s="165"/>
      <c r="Z1195" s="6"/>
      <c r="AA1195" s="6"/>
      <c r="AB1195" s="6"/>
      <c r="AC1195" s="6"/>
    </row>
    <row r="1196" spans="2:29" customFormat="1" x14ac:dyDescent="0.25">
      <c r="B1196" s="266"/>
      <c r="X1196" s="154"/>
      <c r="Y1196" s="165"/>
      <c r="Z1196" s="6"/>
      <c r="AA1196" s="6"/>
      <c r="AB1196" s="6"/>
      <c r="AC1196" s="6"/>
    </row>
    <row r="1197" spans="2:29" customFormat="1" x14ac:dyDescent="0.25">
      <c r="B1197" s="266"/>
      <c r="X1197" s="154"/>
      <c r="Y1197" s="165"/>
      <c r="Z1197" s="6"/>
      <c r="AA1197" s="6"/>
      <c r="AB1197" s="6"/>
      <c r="AC1197" s="6"/>
    </row>
    <row r="1198" spans="2:29" customFormat="1" x14ac:dyDescent="0.25">
      <c r="B1198" s="266"/>
      <c r="X1198" s="154"/>
      <c r="Y1198" s="165"/>
      <c r="Z1198" s="6"/>
      <c r="AA1198" s="6"/>
      <c r="AB1198" s="6"/>
      <c r="AC1198" s="6"/>
    </row>
    <row r="1199" spans="2:29" customFormat="1" x14ac:dyDescent="0.25">
      <c r="B1199" s="266"/>
      <c r="X1199" s="154"/>
      <c r="Y1199" s="165"/>
      <c r="Z1199" s="6"/>
      <c r="AA1199" s="6"/>
      <c r="AB1199" s="6"/>
      <c r="AC1199" s="6"/>
    </row>
    <row r="1200" spans="2:29" customFormat="1" x14ac:dyDescent="0.25">
      <c r="B1200" s="266"/>
      <c r="X1200" s="154"/>
      <c r="Y1200" s="165"/>
      <c r="Z1200" s="6"/>
      <c r="AA1200" s="6"/>
      <c r="AB1200" s="6"/>
      <c r="AC1200" s="6"/>
    </row>
    <row r="1201" spans="2:29" customFormat="1" x14ac:dyDescent="0.25">
      <c r="B1201" s="266"/>
      <c r="X1201" s="154"/>
      <c r="Y1201" s="165"/>
      <c r="Z1201" s="6"/>
      <c r="AA1201" s="6"/>
      <c r="AB1201" s="6"/>
      <c r="AC1201" s="6"/>
    </row>
    <row r="1202" spans="2:29" customFormat="1" x14ac:dyDescent="0.25">
      <c r="B1202" s="266"/>
      <c r="X1202" s="154"/>
      <c r="Y1202" s="165"/>
      <c r="Z1202" s="6"/>
      <c r="AA1202" s="6"/>
      <c r="AB1202" s="6"/>
      <c r="AC1202" s="6"/>
    </row>
    <row r="1203" spans="2:29" customFormat="1" x14ac:dyDescent="0.25">
      <c r="B1203" s="266"/>
      <c r="X1203" s="154"/>
      <c r="Y1203" s="165"/>
      <c r="Z1203" s="6"/>
      <c r="AA1203" s="6"/>
      <c r="AB1203" s="6"/>
      <c r="AC1203" s="6"/>
    </row>
    <row r="1204" spans="2:29" customFormat="1" x14ac:dyDescent="0.25">
      <c r="B1204" s="266"/>
      <c r="X1204" s="154"/>
      <c r="Y1204" s="165"/>
      <c r="Z1204" s="6"/>
      <c r="AA1204" s="6"/>
      <c r="AB1204" s="6"/>
      <c r="AC1204" s="6"/>
    </row>
    <row r="1205" spans="2:29" customFormat="1" x14ac:dyDescent="0.25">
      <c r="B1205" s="266"/>
      <c r="X1205" s="154"/>
      <c r="Y1205" s="165"/>
      <c r="Z1205" s="6"/>
      <c r="AA1205" s="6"/>
      <c r="AB1205" s="6"/>
      <c r="AC1205" s="6"/>
    </row>
    <row r="1206" spans="2:29" customFormat="1" x14ac:dyDescent="0.25">
      <c r="B1206" s="266"/>
      <c r="X1206" s="154"/>
      <c r="Y1206" s="165"/>
      <c r="Z1206" s="6"/>
      <c r="AA1206" s="6"/>
      <c r="AB1206" s="6"/>
      <c r="AC1206" s="6"/>
    </row>
    <row r="1207" spans="2:29" customFormat="1" x14ac:dyDescent="0.25">
      <c r="B1207" s="266"/>
      <c r="X1207" s="154"/>
      <c r="Y1207" s="165"/>
      <c r="Z1207" s="6"/>
      <c r="AA1207" s="6"/>
      <c r="AB1207" s="6"/>
      <c r="AC1207" s="6"/>
    </row>
    <row r="1208" spans="2:29" customFormat="1" x14ac:dyDescent="0.25">
      <c r="B1208" s="266"/>
      <c r="X1208" s="154"/>
      <c r="Y1208" s="165"/>
      <c r="Z1208" s="6"/>
      <c r="AA1208" s="6"/>
      <c r="AB1208" s="6"/>
      <c r="AC1208" s="6"/>
    </row>
    <row r="1209" spans="2:29" customFormat="1" x14ac:dyDescent="0.25">
      <c r="B1209" s="266"/>
      <c r="X1209" s="154"/>
      <c r="Y1209" s="165"/>
      <c r="Z1209" s="6"/>
      <c r="AA1209" s="6"/>
      <c r="AB1209" s="6"/>
      <c r="AC1209" s="6"/>
    </row>
    <row r="1210" spans="2:29" customFormat="1" x14ac:dyDescent="0.25">
      <c r="B1210" s="266"/>
      <c r="X1210" s="154"/>
      <c r="Y1210" s="165"/>
      <c r="Z1210" s="6"/>
      <c r="AA1210" s="6"/>
      <c r="AB1210" s="6"/>
      <c r="AC1210" s="6"/>
    </row>
    <row r="1211" spans="2:29" customFormat="1" x14ac:dyDescent="0.25">
      <c r="B1211" s="266"/>
      <c r="X1211" s="154"/>
      <c r="Y1211" s="165"/>
      <c r="Z1211" s="6"/>
      <c r="AA1211" s="6"/>
      <c r="AB1211" s="6"/>
      <c r="AC1211" s="6"/>
    </row>
    <row r="1212" spans="2:29" customFormat="1" x14ac:dyDescent="0.25">
      <c r="B1212" s="266"/>
      <c r="X1212" s="154"/>
      <c r="Y1212" s="165"/>
      <c r="Z1212" s="6"/>
      <c r="AA1212" s="6"/>
      <c r="AB1212" s="6"/>
      <c r="AC1212" s="6"/>
    </row>
    <row r="1213" spans="2:29" customFormat="1" x14ac:dyDescent="0.25">
      <c r="B1213" s="266"/>
      <c r="X1213" s="154"/>
      <c r="Y1213" s="165"/>
      <c r="Z1213" s="6"/>
      <c r="AA1213" s="6"/>
      <c r="AB1213" s="6"/>
      <c r="AC1213" s="6"/>
    </row>
    <row r="1214" spans="2:29" customFormat="1" x14ac:dyDescent="0.25">
      <c r="B1214" s="266"/>
      <c r="X1214" s="154"/>
      <c r="Y1214" s="165"/>
      <c r="Z1214" s="6"/>
      <c r="AA1214" s="6"/>
      <c r="AB1214" s="6"/>
      <c r="AC1214" s="6"/>
    </row>
    <row r="1215" spans="2:29" customFormat="1" x14ac:dyDescent="0.25">
      <c r="B1215" s="266"/>
      <c r="X1215" s="154"/>
      <c r="Y1215" s="165"/>
      <c r="Z1215" s="6"/>
      <c r="AA1215" s="6"/>
      <c r="AB1215" s="6"/>
      <c r="AC1215" s="6"/>
    </row>
    <row r="1216" spans="2:29" customFormat="1" x14ac:dyDescent="0.25">
      <c r="B1216" s="266"/>
      <c r="X1216" s="154"/>
      <c r="Y1216" s="165"/>
      <c r="Z1216" s="6"/>
      <c r="AA1216" s="6"/>
      <c r="AB1216" s="6"/>
      <c r="AC1216" s="6"/>
    </row>
    <row r="1217" spans="2:29" customFormat="1" x14ac:dyDescent="0.25">
      <c r="B1217" s="266"/>
      <c r="X1217" s="154"/>
      <c r="Y1217" s="165"/>
      <c r="Z1217" s="6"/>
      <c r="AA1217" s="6"/>
      <c r="AB1217" s="6"/>
      <c r="AC1217" s="6"/>
    </row>
    <row r="1218" spans="2:29" customFormat="1" x14ac:dyDescent="0.25">
      <c r="B1218" s="266"/>
      <c r="X1218" s="154"/>
      <c r="Y1218" s="165"/>
      <c r="Z1218" s="6"/>
      <c r="AA1218" s="6"/>
      <c r="AB1218" s="6"/>
      <c r="AC1218" s="6"/>
    </row>
    <row r="1219" spans="2:29" customFormat="1" x14ac:dyDescent="0.25">
      <c r="B1219" s="266"/>
      <c r="X1219" s="154"/>
      <c r="Y1219" s="165"/>
      <c r="Z1219" s="6"/>
      <c r="AA1219" s="6"/>
      <c r="AB1219" s="6"/>
      <c r="AC1219" s="6"/>
    </row>
    <row r="1220" spans="2:29" customFormat="1" x14ac:dyDescent="0.25">
      <c r="B1220" s="266"/>
      <c r="X1220" s="154"/>
      <c r="Y1220" s="165"/>
      <c r="Z1220" s="6"/>
      <c r="AA1220" s="6"/>
      <c r="AB1220" s="6"/>
      <c r="AC1220" s="6"/>
    </row>
    <row r="1221" spans="2:29" customFormat="1" x14ac:dyDescent="0.25">
      <c r="B1221" s="266"/>
      <c r="X1221" s="154"/>
      <c r="Y1221" s="165"/>
      <c r="Z1221" s="6"/>
      <c r="AA1221" s="6"/>
      <c r="AB1221" s="6"/>
      <c r="AC1221" s="6"/>
    </row>
    <row r="1222" spans="2:29" customFormat="1" x14ac:dyDescent="0.25">
      <c r="B1222" s="266"/>
      <c r="X1222" s="154"/>
      <c r="Y1222" s="165"/>
      <c r="Z1222" s="6"/>
      <c r="AA1222" s="6"/>
      <c r="AB1222" s="6"/>
      <c r="AC1222" s="6"/>
    </row>
    <row r="1223" spans="2:29" customFormat="1" x14ac:dyDescent="0.25">
      <c r="B1223" s="266"/>
      <c r="X1223" s="154"/>
      <c r="Y1223" s="165"/>
      <c r="Z1223" s="6"/>
      <c r="AA1223" s="6"/>
      <c r="AB1223" s="6"/>
      <c r="AC1223" s="6"/>
    </row>
    <row r="1224" spans="2:29" customFormat="1" x14ac:dyDescent="0.25">
      <c r="B1224" s="266"/>
      <c r="X1224" s="154"/>
      <c r="Y1224" s="165"/>
      <c r="Z1224" s="6"/>
      <c r="AA1224" s="6"/>
      <c r="AB1224" s="6"/>
      <c r="AC1224" s="6"/>
    </row>
    <row r="1225" spans="2:29" customFormat="1" x14ac:dyDescent="0.25">
      <c r="B1225" s="266"/>
      <c r="X1225" s="154"/>
      <c r="Y1225" s="165"/>
      <c r="Z1225" s="6"/>
      <c r="AA1225" s="6"/>
      <c r="AB1225" s="6"/>
      <c r="AC1225" s="6"/>
    </row>
    <row r="1226" spans="2:29" customFormat="1" x14ac:dyDescent="0.25">
      <c r="B1226" s="266"/>
      <c r="X1226" s="154"/>
      <c r="Y1226" s="165"/>
      <c r="Z1226" s="6"/>
      <c r="AA1226" s="6"/>
      <c r="AB1226" s="6"/>
      <c r="AC1226" s="6"/>
    </row>
    <row r="1227" spans="2:29" customFormat="1" x14ac:dyDescent="0.25">
      <c r="B1227" s="266"/>
      <c r="X1227" s="154"/>
      <c r="Y1227" s="165"/>
      <c r="Z1227" s="6"/>
      <c r="AA1227" s="6"/>
      <c r="AB1227" s="6"/>
      <c r="AC1227" s="6"/>
    </row>
    <row r="1228" spans="2:29" customFormat="1" x14ac:dyDescent="0.25">
      <c r="B1228" s="266"/>
      <c r="X1228" s="154"/>
      <c r="Y1228" s="165"/>
      <c r="Z1228" s="6"/>
      <c r="AA1228" s="6"/>
      <c r="AB1228" s="6"/>
      <c r="AC1228" s="6"/>
    </row>
    <row r="1229" spans="2:29" customFormat="1" x14ac:dyDescent="0.25">
      <c r="B1229" s="266"/>
      <c r="X1229" s="154"/>
      <c r="Y1229" s="165"/>
      <c r="Z1229" s="6"/>
      <c r="AA1229" s="6"/>
      <c r="AB1229" s="6"/>
      <c r="AC1229" s="6"/>
    </row>
    <row r="1230" spans="2:29" customFormat="1" x14ac:dyDescent="0.25">
      <c r="B1230" s="266"/>
      <c r="X1230" s="154"/>
      <c r="Y1230" s="165"/>
      <c r="Z1230" s="6"/>
      <c r="AA1230" s="6"/>
      <c r="AB1230" s="6"/>
      <c r="AC1230" s="6"/>
    </row>
    <row r="1231" spans="2:29" customFormat="1" x14ac:dyDescent="0.25">
      <c r="B1231" s="266"/>
      <c r="X1231" s="154"/>
      <c r="Y1231" s="165"/>
      <c r="Z1231" s="6"/>
      <c r="AA1231" s="6"/>
      <c r="AB1231" s="6"/>
      <c r="AC1231" s="6"/>
    </row>
    <row r="1232" spans="2:29" customFormat="1" x14ac:dyDescent="0.25">
      <c r="B1232" s="266"/>
      <c r="X1232" s="154"/>
      <c r="Y1232" s="165"/>
      <c r="Z1232" s="6"/>
      <c r="AA1232" s="6"/>
      <c r="AB1232" s="6"/>
      <c r="AC1232" s="6"/>
    </row>
    <row r="1233" spans="2:29" customFormat="1" x14ac:dyDescent="0.25">
      <c r="B1233" s="266"/>
      <c r="X1233" s="154"/>
      <c r="Y1233" s="165"/>
      <c r="Z1233" s="6"/>
      <c r="AA1233" s="6"/>
      <c r="AB1233" s="6"/>
      <c r="AC1233" s="6"/>
    </row>
    <row r="1234" spans="2:29" customFormat="1" x14ac:dyDescent="0.25">
      <c r="B1234" s="266"/>
      <c r="X1234" s="154"/>
      <c r="Y1234" s="165"/>
      <c r="Z1234" s="6"/>
      <c r="AA1234" s="6"/>
      <c r="AB1234" s="6"/>
      <c r="AC1234" s="6"/>
    </row>
    <row r="1235" spans="2:29" customFormat="1" x14ac:dyDescent="0.25">
      <c r="B1235" s="266"/>
      <c r="X1235" s="154"/>
      <c r="Y1235" s="165"/>
      <c r="Z1235" s="6"/>
      <c r="AA1235" s="6"/>
      <c r="AB1235" s="6"/>
      <c r="AC1235" s="6"/>
    </row>
    <row r="1236" spans="2:29" customFormat="1" x14ac:dyDescent="0.25">
      <c r="B1236" s="266"/>
      <c r="X1236" s="154"/>
      <c r="Y1236" s="165"/>
      <c r="Z1236" s="6"/>
      <c r="AA1236" s="6"/>
      <c r="AB1236" s="6"/>
      <c r="AC1236" s="6"/>
    </row>
    <row r="1237" spans="2:29" customFormat="1" x14ac:dyDescent="0.25">
      <c r="B1237" s="266"/>
      <c r="X1237" s="154"/>
      <c r="Y1237" s="165"/>
      <c r="Z1237" s="6"/>
      <c r="AA1237" s="6"/>
      <c r="AB1237" s="6"/>
      <c r="AC1237" s="6"/>
    </row>
    <row r="1238" spans="2:29" customFormat="1" x14ac:dyDescent="0.25">
      <c r="B1238" s="266"/>
      <c r="X1238" s="154"/>
      <c r="Y1238" s="165"/>
      <c r="Z1238" s="6"/>
      <c r="AA1238" s="6"/>
      <c r="AB1238" s="6"/>
      <c r="AC1238" s="6"/>
    </row>
    <row r="1239" spans="2:29" customFormat="1" x14ac:dyDescent="0.25">
      <c r="B1239" s="266"/>
      <c r="X1239" s="154"/>
      <c r="Y1239" s="165"/>
      <c r="Z1239" s="6"/>
      <c r="AA1239" s="6"/>
      <c r="AB1239" s="6"/>
      <c r="AC1239" s="6"/>
    </row>
    <row r="1240" spans="2:29" customFormat="1" x14ac:dyDescent="0.25">
      <c r="B1240" s="266"/>
      <c r="X1240" s="154"/>
      <c r="Y1240" s="165"/>
      <c r="Z1240" s="6"/>
      <c r="AA1240" s="6"/>
      <c r="AB1240" s="6"/>
      <c r="AC1240" s="6"/>
    </row>
    <row r="1241" spans="2:29" customFormat="1" x14ac:dyDescent="0.25">
      <c r="B1241" s="266"/>
      <c r="X1241" s="154"/>
      <c r="Y1241" s="165"/>
      <c r="Z1241" s="6"/>
      <c r="AA1241" s="6"/>
      <c r="AB1241" s="6"/>
      <c r="AC1241" s="6"/>
    </row>
    <row r="1242" spans="2:29" customFormat="1" x14ac:dyDescent="0.25">
      <c r="B1242" s="266"/>
      <c r="X1242" s="154"/>
      <c r="Y1242" s="165"/>
      <c r="Z1242" s="6"/>
      <c r="AA1242" s="6"/>
      <c r="AB1242" s="6"/>
      <c r="AC1242" s="6"/>
    </row>
    <row r="1243" spans="2:29" customFormat="1" x14ac:dyDescent="0.25">
      <c r="B1243" s="266"/>
      <c r="X1243" s="154"/>
      <c r="Y1243" s="165"/>
      <c r="Z1243" s="6"/>
      <c r="AA1243" s="6"/>
      <c r="AB1243" s="6"/>
      <c r="AC1243" s="6"/>
    </row>
    <row r="1244" spans="2:29" customFormat="1" x14ac:dyDescent="0.25">
      <c r="B1244" s="266"/>
      <c r="X1244" s="154"/>
      <c r="Y1244" s="165"/>
      <c r="Z1244" s="6"/>
      <c r="AA1244" s="6"/>
      <c r="AB1244" s="6"/>
      <c r="AC1244" s="6"/>
    </row>
    <row r="1245" spans="2:29" customFormat="1" x14ac:dyDescent="0.25">
      <c r="B1245" s="266"/>
      <c r="X1245" s="154"/>
      <c r="Y1245" s="165"/>
      <c r="Z1245" s="6"/>
      <c r="AA1245" s="6"/>
      <c r="AB1245" s="6"/>
      <c r="AC1245" s="6"/>
    </row>
    <row r="1246" spans="2:29" customFormat="1" x14ac:dyDescent="0.25">
      <c r="B1246" s="266"/>
      <c r="X1246" s="154"/>
      <c r="Y1246" s="165"/>
      <c r="Z1246" s="6"/>
      <c r="AA1246" s="6"/>
      <c r="AB1246" s="6"/>
      <c r="AC1246" s="6"/>
    </row>
    <row r="1247" spans="2:29" customFormat="1" x14ac:dyDescent="0.25">
      <c r="B1247" s="266"/>
      <c r="X1247" s="154"/>
      <c r="Y1247" s="165"/>
      <c r="Z1247" s="6"/>
      <c r="AA1247" s="6"/>
      <c r="AB1247" s="6"/>
      <c r="AC1247" s="6"/>
    </row>
    <row r="1248" spans="2:29" customFormat="1" x14ac:dyDescent="0.25">
      <c r="B1248" s="266"/>
      <c r="X1248" s="154"/>
      <c r="Y1248" s="165"/>
      <c r="Z1248" s="6"/>
      <c r="AA1248" s="6"/>
      <c r="AB1248" s="6"/>
      <c r="AC1248" s="6"/>
    </row>
    <row r="1249" spans="2:29" customFormat="1" x14ac:dyDescent="0.25">
      <c r="B1249" s="266"/>
      <c r="X1249" s="154"/>
      <c r="Y1249" s="165"/>
      <c r="Z1249" s="6"/>
      <c r="AA1249" s="6"/>
      <c r="AB1249" s="6"/>
      <c r="AC1249" s="6"/>
    </row>
    <row r="1250" spans="2:29" customFormat="1" x14ac:dyDescent="0.25">
      <c r="B1250" s="266"/>
      <c r="X1250" s="154"/>
      <c r="Y1250" s="165"/>
      <c r="Z1250" s="6"/>
      <c r="AA1250" s="6"/>
      <c r="AB1250" s="6"/>
      <c r="AC1250" s="6"/>
    </row>
    <row r="1251" spans="2:29" customFormat="1" x14ac:dyDescent="0.25">
      <c r="B1251" s="266"/>
      <c r="X1251" s="154"/>
      <c r="Y1251" s="165"/>
      <c r="Z1251" s="6"/>
      <c r="AA1251" s="6"/>
      <c r="AB1251" s="6"/>
      <c r="AC1251" s="6"/>
    </row>
    <row r="1252" spans="2:29" customFormat="1" x14ac:dyDescent="0.25">
      <c r="B1252" s="266"/>
      <c r="X1252" s="154"/>
      <c r="Y1252" s="165"/>
      <c r="Z1252" s="6"/>
      <c r="AA1252" s="6"/>
      <c r="AB1252" s="6"/>
      <c r="AC1252" s="6"/>
    </row>
    <row r="1253" spans="2:29" customFormat="1" x14ac:dyDescent="0.25">
      <c r="B1253" s="266"/>
      <c r="X1253" s="154"/>
      <c r="Y1253" s="165"/>
      <c r="Z1253" s="6"/>
      <c r="AA1253" s="6"/>
      <c r="AB1253" s="6"/>
      <c r="AC1253" s="6"/>
    </row>
    <row r="1254" spans="2:29" customFormat="1" x14ac:dyDescent="0.25">
      <c r="B1254" s="266"/>
      <c r="X1254" s="154"/>
      <c r="Y1254" s="165"/>
      <c r="Z1254" s="6"/>
      <c r="AA1254" s="6"/>
      <c r="AB1254" s="6"/>
      <c r="AC1254" s="6"/>
    </row>
    <row r="1255" spans="2:29" customFormat="1" x14ac:dyDescent="0.25">
      <c r="B1255" s="266"/>
      <c r="X1255" s="154"/>
      <c r="Y1255" s="165"/>
      <c r="Z1255" s="6"/>
      <c r="AA1255" s="6"/>
      <c r="AB1255" s="6"/>
      <c r="AC1255" s="6"/>
    </row>
    <row r="1256" spans="2:29" customFormat="1" x14ac:dyDescent="0.25">
      <c r="B1256" s="266"/>
      <c r="X1256" s="154"/>
      <c r="Y1256" s="165"/>
      <c r="Z1256" s="6"/>
      <c r="AA1256" s="6"/>
      <c r="AB1256" s="6"/>
      <c r="AC1256" s="6"/>
    </row>
    <row r="1257" spans="2:29" customFormat="1" x14ac:dyDescent="0.25">
      <c r="B1257" s="266"/>
      <c r="X1257" s="154"/>
      <c r="Y1257" s="165"/>
      <c r="Z1257" s="6"/>
      <c r="AA1257" s="6"/>
      <c r="AB1257" s="6"/>
      <c r="AC1257" s="6"/>
    </row>
    <row r="1258" spans="2:29" customFormat="1" x14ac:dyDescent="0.25">
      <c r="B1258" s="266"/>
      <c r="X1258" s="154"/>
      <c r="Y1258" s="165"/>
      <c r="Z1258" s="6"/>
      <c r="AA1258" s="6"/>
      <c r="AB1258" s="6"/>
      <c r="AC1258" s="6"/>
    </row>
    <row r="1259" spans="2:29" customFormat="1" x14ac:dyDescent="0.25">
      <c r="B1259" s="266"/>
      <c r="X1259" s="154"/>
      <c r="Y1259" s="165"/>
      <c r="Z1259" s="6"/>
      <c r="AA1259" s="6"/>
      <c r="AB1259" s="6"/>
      <c r="AC1259" s="6"/>
    </row>
    <row r="1260" spans="2:29" customFormat="1" x14ac:dyDescent="0.25">
      <c r="B1260" s="266"/>
      <c r="X1260" s="154"/>
      <c r="Y1260" s="165"/>
      <c r="Z1260" s="6"/>
      <c r="AA1260" s="6"/>
      <c r="AB1260" s="6"/>
      <c r="AC1260" s="6"/>
    </row>
    <row r="1261" spans="2:29" customFormat="1" x14ac:dyDescent="0.25">
      <c r="B1261" s="266"/>
      <c r="X1261" s="154"/>
      <c r="Y1261" s="165"/>
      <c r="Z1261" s="6"/>
      <c r="AA1261" s="6"/>
      <c r="AB1261" s="6"/>
      <c r="AC1261" s="6"/>
    </row>
    <row r="1262" spans="2:29" customFormat="1" x14ac:dyDescent="0.25">
      <c r="B1262" s="266"/>
      <c r="X1262" s="154"/>
      <c r="Y1262" s="165"/>
      <c r="Z1262" s="6"/>
      <c r="AA1262" s="6"/>
      <c r="AB1262" s="6"/>
      <c r="AC1262" s="6"/>
    </row>
    <row r="1263" spans="2:29" customFormat="1" x14ac:dyDescent="0.25">
      <c r="B1263" s="266"/>
      <c r="X1263" s="154"/>
      <c r="Y1263" s="165"/>
      <c r="Z1263" s="6"/>
      <c r="AA1263" s="6"/>
      <c r="AB1263" s="6"/>
      <c r="AC1263" s="6"/>
    </row>
    <row r="1264" spans="2:29" customFormat="1" x14ac:dyDescent="0.25">
      <c r="B1264" s="266"/>
      <c r="X1264" s="154"/>
      <c r="Y1264" s="165"/>
      <c r="Z1264" s="6"/>
      <c r="AA1264" s="6"/>
      <c r="AB1264" s="6"/>
      <c r="AC1264" s="6"/>
    </row>
    <row r="1265" spans="2:29" customFormat="1" x14ac:dyDescent="0.25">
      <c r="B1265" s="266"/>
      <c r="X1265" s="154"/>
      <c r="Y1265" s="165"/>
      <c r="Z1265" s="6"/>
      <c r="AA1265" s="6"/>
      <c r="AB1265" s="6"/>
      <c r="AC1265" s="6"/>
    </row>
    <row r="1266" spans="2:29" customFormat="1" x14ac:dyDescent="0.25">
      <c r="B1266" s="266"/>
      <c r="X1266" s="154"/>
      <c r="Y1266" s="165"/>
      <c r="Z1266" s="6"/>
      <c r="AA1266" s="6"/>
      <c r="AB1266" s="6"/>
      <c r="AC1266" s="6"/>
    </row>
    <row r="1267" spans="2:29" customFormat="1" x14ac:dyDescent="0.25">
      <c r="B1267" s="266"/>
      <c r="X1267" s="154"/>
      <c r="Y1267" s="165"/>
      <c r="Z1267" s="6"/>
      <c r="AA1267" s="6"/>
      <c r="AB1267" s="6"/>
      <c r="AC1267" s="6"/>
    </row>
    <row r="1268" spans="2:29" customFormat="1" x14ac:dyDescent="0.25">
      <c r="B1268" s="266"/>
      <c r="X1268" s="154"/>
      <c r="Y1268" s="165"/>
      <c r="Z1268" s="6"/>
      <c r="AA1268" s="6"/>
      <c r="AB1268" s="6"/>
      <c r="AC1268" s="6"/>
    </row>
    <row r="1269" spans="2:29" customFormat="1" x14ac:dyDescent="0.25">
      <c r="B1269" s="266"/>
      <c r="X1269" s="154"/>
      <c r="Y1269" s="165"/>
      <c r="Z1269" s="6"/>
      <c r="AA1269" s="6"/>
      <c r="AB1269" s="6"/>
      <c r="AC1269" s="6"/>
    </row>
    <row r="1270" spans="2:29" customFormat="1" x14ac:dyDescent="0.25">
      <c r="B1270" s="266"/>
      <c r="X1270" s="154"/>
      <c r="Y1270" s="165"/>
      <c r="Z1270" s="6"/>
      <c r="AA1270" s="6"/>
      <c r="AB1270" s="6"/>
      <c r="AC1270" s="6"/>
    </row>
    <row r="1271" spans="2:29" customFormat="1" x14ac:dyDescent="0.25">
      <c r="B1271" s="266"/>
      <c r="X1271" s="154"/>
      <c r="Y1271" s="165"/>
      <c r="Z1271" s="6"/>
      <c r="AA1271" s="6"/>
      <c r="AB1271" s="6"/>
      <c r="AC1271" s="6"/>
    </row>
    <row r="1272" spans="2:29" customFormat="1" x14ac:dyDescent="0.25">
      <c r="B1272" s="266"/>
      <c r="X1272" s="154"/>
      <c r="Y1272" s="165"/>
      <c r="Z1272" s="6"/>
      <c r="AA1272" s="6"/>
      <c r="AB1272" s="6"/>
      <c r="AC1272" s="6"/>
    </row>
    <row r="1273" spans="2:29" customFormat="1" x14ac:dyDescent="0.25">
      <c r="B1273" s="266"/>
      <c r="X1273" s="154"/>
      <c r="Y1273" s="165"/>
      <c r="Z1273" s="6"/>
      <c r="AA1273" s="6"/>
      <c r="AB1273" s="6"/>
      <c r="AC1273" s="6"/>
    </row>
    <row r="1274" spans="2:29" customFormat="1" x14ac:dyDescent="0.25">
      <c r="B1274" s="266"/>
      <c r="X1274" s="154"/>
      <c r="Y1274" s="165"/>
      <c r="Z1274" s="6"/>
      <c r="AA1274" s="6"/>
      <c r="AB1274" s="6"/>
      <c r="AC1274" s="6"/>
    </row>
    <row r="1275" spans="2:29" customFormat="1" x14ac:dyDescent="0.25">
      <c r="B1275" s="266"/>
      <c r="X1275" s="154"/>
      <c r="Y1275" s="165"/>
      <c r="Z1275" s="6"/>
      <c r="AA1275" s="6"/>
      <c r="AB1275" s="6"/>
      <c r="AC1275" s="6"/>
    </row>
    <row r="1276" spans="2:29" customFormat="1" x14ac:dyDescent="0.25">
      <c r="B1276" s="266"/>
      <c r="X1276" s="154"/>
      <c r="Y1276" s="165"/>
      <c r="Z1276" s="6"/>
      <c r="AA1276" s="6"/>
      <c r="AB1276" s="6"/>
      <c r="AC1276" s="6"/>
    </row>
    <row r="1277" spans="2:29" customFormat="1" x14ac:dyDescent="0.25">
      <c r="B1277" s="266"/>
      <c r="X1277" s="154"/>
      <c r="Y1277" s="165"/>
      <c r="Z1277" s="6"/>
      <c r="AA1277" s="6"/>
      <c r="AB1277" s="6"/>
      <c r="AC1277" s="6"/>
    </row>
    <row r="1278" spans="2:29" customFormat="1" x14ac:dyDescent="0.25">
      <c r="B1278" s="266"/>
      <c r="X1278" s="154"/>
      <c r="Y1278" s="165"/>
      <c r="Z1278" s="6"/>
      <c r="AA1278" s="6"/>
      <c r="AB1278" s="6"/>
      <c r="AC1278" s="6"/>
    </row>
    <row r="1279" spans="2:29" customFormat="1" x14ac:dyDescent="0.25">
      <c r="B1279" s="266"/>
      <c r="X1279" s="154"/>
      <c r="Y1279" s="165"/>
      <c r="Z1279" s="6"/>
      <c r="AA1279" s="6"/>
      <c r="AB1279" s="6"/>
      <c r="AC1279" s="6"/>
    </row>
    <row r="1280" spans="2:29" customFormat="1" x14ac:dyDescent="0.25">
      <c r="B1280" s="266"/>
      <c r="X1280" s="154"/>
      <c r="Y1280" s="165"/>
      <c r="Z1280" s="6"/>
      <c r="AA1280" s="6"/>
      <c r="AB1280" s="6"/>
      <c r="AC1280" s="6"/>
    </row>
    <row r="1281" spans="2:29" customFormat="1" x14ac:dyDescent="0.25">
      <c r="B1281" s="266"/>
      <c r="X1281" s="154"/>
      <c r="Y1281" s="165"/>
      <c r="Z1281" s="6"/>
      <c r="AA1281" s="6"/>
      <c r="AB1281" s="6"/>
      <c r="AC1281" s="6"/>
    </row>
    <row r="1282" spans="2:29" customFormat="1" x14ac:dyDescent="0.25">
      <c r="B1282" s="266"/>
      <c r="X1282" s="154"/>
      <c r="Y1282" s="165"/>
      <c r="Z1282" s="6"/>
      <c r="AA1282" s="6"/>
      <c r="AB1282" s="6"/>
      <c r="AC1282" s="6"/>
    </row>
    <row r="1283" spans="2:29" customFormat="1" x14ac:dyDescent="0.25">
      <c r="B1283" s="266"/>
      <c r="X1283" s="154"/>
      <c r="Y1283" s="165"/>
      <c r="Z1283" s="6"/>
      <c r="AA1283" s="6"/>
      <c r="AB1283" s="6"/>
      <c r="AC1283" s="6"/>
    </row>
    <row r="1284" spans="2:29" customFormat="1" x14ac:dyDescent="0.25">
      <c r="B1284" s="266"/>
      <c r="X1284" s="154"/>
      <c r="Y1284" s="165"/>
      <c r="Z1284" s="6"/>
      <c r="AA1284" s="6"/>
      <c r="AB1284" s="6"/>
      <c r="AC1284" s="6"/>
    </row>
    <row r="1285" spans="2:29" customFormat="1" x14ac:dyDescent="0.25">
      <c r="B1285" s="266"/>
      <c r="X1285" s="154"/>
      <c r="Y1285" s="165"/>
      <c r="Z1285" s="6"/>
      <c r="AA1285" s="6"/>
      <c r="AB1285" s="6"/>
      <c r="AC1285" s="6"/>
    </row>
    <row r="1286" spans="2:29" customFormat="1" x14ac:dyDescent="0.25">
      <c r="B1286" s="266"/>
      <c r="X1286" s="154"/>
      <c r="Y1286" s="165"/>
      <c r="Z1286" s="6"/>
      <c r="AA1286" s="6"/>
      <c r="AB1286" s="6"/>
      <c r="AC1286" s="6"/>
    </row>
    <row r="1287" spans="2:29" customFormat="1" x14ac:dyDescent="0.25">
      <c r="B1287" s="266"/>
      <c r="X1287" s="154"/>
      <c r="Y1287" s="165"/>
      <c r="Z1287" s="6"/>
      <c r="AA1287" s="6"/>
      <c r="AB1287" s="6"/>
      <c r="AC1287" s="6"/>
    </row>
    <row r="1288" spans="2:29" customFormat="1" x14ac:dyDescent="0.25">
      <c r="B1288" s="266"/>
      <c r="X1288" s="154"/>
      <c r="Y1288" s="165"/>
      <c r="Z1288" s="6"/>
      <c r="AA1288" s="6"/>
      <c r="AB1288" s="6"/>
      <c r="AC1288" s="6"/>
    </row>
    <row r="1289" spans="2:29" customFormat="1" x14ac:dyDescent="0.25">
      <c r="B1289" s="266"/>
      <c r="X1289" s="154"/>
      <c r="Y1289" s="165"/>
      <c r="Z1289" s="6"/>
      <c r="AA1289" s="6"/>
      <c r="AB1289" s="6"/>
      <c r="AC1289" s="6"/>
    </row>
    <row r="1290" spans="2:29" customFormat="1" x14ac:dyDescent="0.25">
      <c r="B1290" s="266"/>
      <c r="X1290" s="154"/>
      <c r="Y1290" s="165"/>
      <c r="Z1290" s="6"/>
      <c r="AA1290" s="6"/>
      <c r="AB1290" s="6"/>
      <c r="AC1290" s="6"/>
    </row>
    <row r="1291" spans="2:29" customFormat="1" x14ac:dyDescent="0.25">
      <c r="B1291" s="266"/>
      <c r="X1291" s="154"/>
      <c r="Y1291" s="165"/>
      <c r="Z1291" s="6"/>
      <c r="AA1291" s="6"/>
      <c r="AB1291" s="6"/>
      <c r="AC1291" s="6"/>
    </row>
    <row r="1292" spans="2:29" customFormat="1" x14ac:dyDescent="0.25">
      <c r="B1292" s="266"/>
      <c r="X1292" s="154"/>
      <c r="Y1292" s="165"/>
      <c r="Z1292" s="6"/>
      <c r="AA1292" s="6"/>
      <c r="AB1292" s="6"/>
      <c r="AC1292" s="6"/>
    </row>
    <row r="1293" spans="2:29" customFormat="1" x14ac:dyDescent="0.25">
      <c r="B1293" s="266"/>
      <c r="X1293" s="154"/>
      <c r="Y1293" s="165"/>
      <c r="Z1293" s="6"/>
      <c r="AA1293" s="6"/>
      <c r="AB1293" s="6"/>
      <c r="AC1293" s="6"/>
    </row>
    <row r="1294" spans="2:29" customFormat="1" x14ac:dyDescent="0.25">
      <c r="B1294" s="266"/>
      <c r="X1294" s="154"/>
      <c r="Y1294" s="165"/>
      <c r="Z1294" s="6"/>
      <c r="AA1294" s="6"/>
      <c r="AB1294" s="6"/>
      <c r="AC1294" s="6"/>
    </row>
    <row r="1295" spans="2:29" customFormat="1" x14ac:dyDescent="0.25">
      <c r="B1295" s="266"/>
      <c r="X1295" s="154"/>
      <c r="Y1295" s="165"/>
      <c r="Z1295" s="6"/>
      <c r="AA1295" s="6"/>
      <c r="AB1295" s="6"/>
      <c r="AC1295" s="6"/>
    </row>
    <row r="1296" spans="2:29" customFormat="1" x14ac:dyDescent="0.25">
      <c r="B1296" s="266"/>
      <c r="X1296" s="154"/>
      <c r="Y1296" s="165"/>
      <c r="Z1296" s="6"/>
      <c r="AA1296" s="6"/>
      <c r="AB1296" s="6"/>
      <c r="AC1296" s="6"/>
    </row>
    <row r="1297" spans="2:29" customFormat="1" x14ac:dyDescent="0.25">
      <c r="B1297" s="266"/>
      <c r="X1297" s="154"/>
      <c r="Y1297" s="165"/>
      <c r="Z1297" s="6"/>
      <c r="AA1297" s="6"/>
      <c r="AB1297" s="6"/>
      <c r="AC1297" s="6"/>
    </row>
    <row r="1298" spans="2:29" customFormat="1" x14ac:dyDescent="0.25">
      <c r="B1298" s="266"/>
      <c r="X1298" s="154"/>
      <c r="Y1298" s="165"/>
      <c r="Z1298" s="6"/>
      <c r="AA1298" s="6"/>
      <c r="AB1298" s="6"/>
      <c r="AC1298" s="6"/>
    </row>
    <row r="1299" spans="2:29" customFormat="1" x14ac:dyDescent="0.25">
      <c r="B1299" s="266"/>
      <c r="X1299" s="154"/>
      <c r="Y1299" s="165"/>
      <c r="Z1299" s="6"/>
      <c r="AA1299" s="6"/>
      <c r="AB1299" s="6"/>
      <c r="AC1299" s="6"/>
    </row>
    <row r="1300" spans="2:29" customFormat="1" x14ac:dyDescent="0.25">
      <c r="B1300" s="266"/>
      <c r="X1300" s="154"/>
      <c r="Y1300" s="165"/>
      <c r="Z1300" s="6"/>
      <c r="AA1300" s="6"/>
      <c r="AB1300" s="6"/>
      <c r="AC1300" s="6"/>
    </row>
    <row r="1301" spans="2:29" customFormat="1" x14ac:dyDescent="0.25">
      <c r="B1301" s="266"/>
      <c r="X1301" s="154"/>
      <c r="Y1301" s="165"/>
      <c r="Z1301" s="6"/>
      <c r="AA1301" s="6"/>
      <c r="AB1301" s="6"/>
      <c r="AC1301" s="6"/>
    </row>
    <row r="1302" spans="2:29" customFormat="1" x14ac:dyDescent="0.25">
      <c r="B1302" s="266"/>
      <c r="X1302" s="154"/>
      <c r="Y1302" s="165"/>
      <c r="Z1302" s="6"/>
      <c r="AA1302" s="6"/>
      <c r="AB1302" s="6"/>
      <c r="AC1302" s="6"/>
    </row>
    <row r="1303" spans="2:29" customFormat="1" x14ac:dyDescent="0.25">
      <c r="B1303" s="266"/>
      <c r="X1303" s="154"/>
      <c r="Y1303" s="165"/>
      <c r="Z1303" s="6"/>
      <c r="AA1303" s="6"/>
      <c r="AB1303" s="6"/>
      <c r="AC1303" s="6"/>
    </row>
    <row r="1304" spans="2:29" customFormat="1" x14ac:dyDescent="0.25">
      <c r="B1304" s="266"/>
      <c r="X1304" s="154"/>
      <c r="Y1304" s="165"/>
      <c r="Z1304" s="6"/>
      <c r="AA1304" s="6"/>
      <c r="AB1304" s="6"/>
      <c r="AC1304" s="6"/>
    </row>
    <row r="1305" spans="2:29" customFormat="1" x14ac:dyDescent="0.25">
      <c r="B1305" s="266"/>
      <c r="X1305" s="154"/>
      <c r="Y1305" s="165"/>
      <c r="Z1305" s="6"/>
      <c r="AA1305" s="6"/>
      <c r="AB1305" s="6"/>
      <c r="AC1305" s="6"/>
    </row>
    <row r="1306" spans="2:29" customFormat="1" x14ac:dyDescent="0.25">
      <c r="B1306" s="266"/>
      <c r="X1306" s="154"/>
      <c r="Y1306" s="165"/>
      <c r="Z1306" s="6"/>
      <c r="AA1306" s="6"/>
      <c r="AB1306" s="6"/>
      <c r="AC1306" s="6"/>
    </row>
    <row r="1307" spans="2:29" customFormat="1" x14ac:dyDescent="0.25">
      <c r="B1307" s="266"/>
      <c r="X1307" s="154"/>
      <c r="Y1307" s="165"/>
      <c r="Z1307" s="6"/>
      <c r="AA1307" s="6"/>
      <c r="AB1307" s="6"/>
      <c r="AC1307" s="6"/>
    </row>
    <row r="1308" spans="2:29" customFormat="1" x14ac:dyDescent="0.25">
      <c r="B1308" s="266"/>
      <c r="X1308" s="154"/>
      <c r="Y1308" s="165"/>
      <c r="Z1308" s="6"/>
      <c r="AA1308" s="6"/>
      <c r="AB1308" s="6"/>
      <c r="AC1308" s="6"/>
    </row>
    <row r="1309" spans="2:29" customFormat="1" x14ac:dyDescent="0.25">
      <c r="B1309" s="266"/>
      <c r="X1309" s="154"/>
      <c r="Y1309" s="165"/>
      <c r="Z1309" s="6"/>
      <c r="AA1309" s="6"/>
      <c r="AB1309" s="6"/>
      <c r="AC1309" s="6"/>
    </row>
    <row r="1310" spans="2:29" customFormat="1" x14ac:dyDescent="0.25">
      <c r="B1310" s="266"/>
      <c r="X1310" s="154"/>
      <c r="Y1310" s="165"/>
      <c r="Z1310" s="6"/>
      <c r="AA1310" s="6"/>
      <c r="AB1310" s="6"/>
      <c r="AC1310" s="6"/>
    </row>
    <row r="1311" spans="2:29" customFormat="1" x14ac:dyDescent="0.25">
      <c r="B1311" s="266"/>
      <c r="X1311" s="154"/>
      <c r="Y1311" s="165"/>
      <c r="Z1311" s="6"/>
      <c r="AA1311" s="6"/>
      <c r="AB1311" s="6"/>
      <c r="AC1311" s="6"/>
    </row>
    <row r="1312" spans="2:29" customFormat="1" x14ac:dyDescent="0.25">
      <c r="B1312" s="266"/>
      <c r="X1312" s="154"/>
      <c r="Y1312" s="165"/>
      <c r="Z1312" s="6"/>
      <c r="AA1312" s="6"/>
      <c r="AB1312" s="6"/>
      <c r="AC1312" s="6"/>
    </row>
    <row r="1313" spans="2:29" customFormat="1" x14ac:dyDescent="0.25">
      <c r="B1313" s="266"/>
      <c r="X1313" s="154"/>
      <c r="Y1313" s="165"/>
      <c r="Z1313" s="6"/>
      <c r="AA1313" s="6"/>
      <c r="AB1313" s="6"/>
      <c r="AC1313" s="6"/>
    </row>
    <row r="1314" spans="2:29" customFormat="1" x14ac:dyDescent="0.25">
      <c r="B1314" s="266"/>
      <c r="X1314" s="154"/>
      <c r="Y1314" s="165"/>
      <c r="Z1314" s="6"/>
      <c r="AA1314" s="6"/>
      <c r="AB1314" s="6"/>
      <c r="AC1314" s="6"/>
    </row>
    <row r="1315" spans="2:29" customFormat="1" x14ac:dyDescent="0.25">
      <c r="B1315" s="266"/>
      <c r="X1315" s="154"/>
      <c r="Y1315" s="165"/>
      <c r="Z1315" s="6"/>
      <c r="AA1315" s="6"/>
      <c r="AB1315" s="6"/>
      <c r="AC1315" s="6"/>
    </row>
    <row r="1316" spans="2:29" customFormat="1" x14ac:dyDescent="0.25">
      <c r="B1316" s="266"/>
      <c r="X1316" s="154"/>
      <c r="Y1316" s="165"/>
      <c r="Z1316" s="6"/>
      <c r="AA1316" s="6"/>
      <c r="AB1316" s="6"/>
      <c r="AC1316" s="6"/>
    </row>
    <row r="1317" spans="2:29" customFormat="1" x14ac:dyDescent="0.25">
      <c r="B1317" s="266"/>
      <c r="X1317" s="154"/>
      <c r="Y1317" s="165"/>
      <c r="Z1317" s="6"/>
      <c r="AA1317" s="6"/>
      <c r="AB1317" s="6"/>
      <c r="AC1317" s="6"/>
    </row>
    <row r="1318" spans="2:29" customFormat="1" x14ac:dyDescent="0.25">
      <c r="B1318" s="266"/>
      <c r="X1318" s="154"/>
      <c r="Y1318" s="165"/>
      <c r="Z1318" s="6"/>
      <c r="AA1318" s="6"/>
      <c r="AB1318" s="6"/>
      <c r="AC1318" s="6"/>
    </row>
    <row r="1319" spans="2:29" customFormat="1" x14ac:dyDescent="0.25">
      <c r="B1319" s="266"/>
      <c r="X1319" s="154"/>
      <c r="Y1319" s="165"/>
      <c r="Z1319" s="6"/>
      <c r="AA1319" s="6"/>
      <c r="AB1319" s="6"/>
      <c r="AC1319" s="6"/>
    </row>
    <row r="1320" spans="2:29" customFormat="1" x14ac:dyDescent="0.25">
      <c r="B1320" s="266"/>
      <c r="X1320" s="154"/>
      <c r="Y1320" s="165"/>
      <c r="Z1320" s="6"/>
      <c r="AA1320" s="6"/>
      <c r="AB1320" s="6"/>
      <c r="AC1320" s="6"/>
    </row>
    <row r="1321" spans="2:29" customFormat="1" x14ac:dyDescent="0.25">
      <c r="B1321" s="266"/>
      <c r="X1321" s="154"/>
      <c r="Y1321" s="165"/>
      <c r="Z1321" s="6"/>
      <c r="AA1321" s="6"/>
      <c r="AB1321" s="6"/>
      <c r="AC1321" s="6"/>
    </row>
    <row r="1322" spans="2:29" customFormat="1" x14ac:dyDescent="0.25">
      <c r="B1322" s="266"/>
      <c r="X1322" s="154"/>
      <c r="Y1322" s="165"/>
      <c r="Z1322" s="6"/>
      <c r="AA1322" s="6"/>
      <c r="AB1322" s="6"/>
      <c r="AC1322" s="6"/>
    </row>
    <row r="1323" spans="2:29" customFormat="1" x14ac:dyDescent="0.25">
      <c r="B1323" s="266"/>
      <c r="X1323" s="154"/>
      <c r="Y1323" s="165"/>
      <c r="Z1323" s="6"/>
      <c r="AA1323" s="6"/>
      <c r="AB1323" s="6"/>
      <c r="AC1323" s="6"/>
    </row>
    <row r="1324" spans="2:29" customFormat="1" x14ac:dyDescent="0.25">
      <c r="B1324" s="266"/>
      <c r="X1324" s="154"/>
      <c r="Y1324" s="165"/>
      <c r="Z1324" s="6"/>
      <c r="AA1324" s="6"/>
      <c r="AB1324" s="6"/>
      <c r="AC1324" s="6"/>
    </row>
    <row r="1325" spans="2:29" customFormat="1" x14ac:dyDescent="0.25">
      <c r="B1325" s="266"/>
      <c r="X1325" s="154"/>
      <c r="Y1325" s="165"/>
      <c r="Z1325" s="6"/>
      <c r="AA1325" s="6"/>
      <c r="AB1325" s="6"/>
      <c r="AC1325" s="6"/>
    </row>
    <row r="1326" spans="2:29" customFormat="1" x14ac:dyDescent="0.25">
      <c r="B1326" s="266"/>
      <c r="X1326" s="154"/>
      <c r="Y1326" s="165"/>
      <c r="Z1326" s="6"/>
      <c r="AA1326" s="6"/>
      <c r="AB1326" s="6"/>
      <c r="AC1326" s="6"/>
    </row>
    <row r="1327" spans="2:29" customFormat="1" x14ac:dyDescent="0.25">
      <c r="B1327" s="266"/>
      <c r="X1327" s="154"/>
      <c r="Y1327" s="165"/>
      <c r="Z1327" s="6"/>
      <c r="AA1327" s="6"/>
      <c r="AB1327" s="6"/>
      <c r="AC1327" s="6"/>
    </row>
    <row r="1328" spans="2:29" customFormat="1" x14ac:dyDescent="0.25">
      <c r="B1328" s="266"/>
      <c r="X1328" s="154"/>
      <c r="Y1328" s="165"/>
      <c r="Z1328" s="6"/>
      <c r="AA1328" s="6"/>
      <c r="AB1328" s="6"/>
      <c r="AC1328" s="6"/>
    </row>
    <row r="1329" spans="2:29" customFormat="1" x14ac:dyDescent="0.25">
      <c r="B1329" s="266"/>
      <c r="X1329" s="154"/>
      <c r="Y1329" s="165"/>
      <c r="Z1329" s="6"/>
      <c r="AA1329" s="6"/>
      <c r="AB1329" s="6"/>
      <c r="AC1329" s="6"/>
    </row>
    <row r="1330" spans="2:29" customFormat="1" x14ac:dyDescent="0.25">
      <c r="B1330" s="266"/>
      <c r="X1330" s="154"/>
      <c r="Y1330" s="165"/>
      <c r="Z1330" s="6"/>
      <c r="AA1330" s="6"/>
      <c r="AB1330" s="6"/>
      <c r="AC1330" s="6"/>
    </row>
    <row r="1331" spans="2:29" customFormat="1" x14ac:dyDescent="0.25">
      <c r="B1331" s="266"/>
      <c r="X1331" s="154"/>
      <c r="Y1331" s="165"/>
      <c r="Z1331" s="6"/>
      <c r="AA1331" s="6"/>
      <c r="AB1331" s="6"/>
      <c r="AC1331" s="6"/>
    </row>
    <row r="1332" spans="2:29" customFormat="1" x14ac:dyDescent="0.25">
      <c r="B1332" s="266"/>
      <c r="X1332" s="154"/>
      <c r="Y1332" s="165"/>
      <c r="Z1332" s="6"/>
      <c r="AA1332" s="6"/>
      <c r="AB1332" s="6"/>
      <c r="AC1332" s="6"/>
    </row>
    <row r="1333" spans="2:29" customFormat="1" x14ac:dyDescent="0.25">
      <c r="B1333" s="266"/>
      <c r="X1333" s="154"/>
      <c r="Y1333" s="165"/>
      <c r="Z1333" s="6"/>
      <c r="AA1333" s="6"/>
      <c r="AB1333" s="6"/>
      <c r="AC1333" s="6"/>
    </row>
    <row r="1334" spans="2:29" customFormat="1" x14ac:dyDescent="0.25">
      <c r="B1334" s="266"/>
      <c r="X1334" s="154"/>
      <c r="Y1334" s="165"/>
      <c r="Z1334" s="6"/>
      <c r="AA1334" s="6"/>
      <c r="AB1334" s="6"/>
      <c r="AC1334" s="6"/>
    </row>
    <row r="1335" spans="2:29" customFormat="1" x14ac:dyDescent="0.25">
      <c r="B1335" s="266"/>
      <c r="X1335" s="154"/>
      <c r="Y1335" s="165"/>
      <c r="Z1335" s="6"/>
      <c r="AA1335" s="6"/>
      <c r="AB1335" s="6"/>
      <c r="AC1335" s="6"/>
    </row>
    <row r="1336" spans="2:29" customFormat="1" x14ac:dyDescent="0.25">
      <c r="B1336" s="266"/>
      <c r="X1336" s="154"/>
      <c r="Y1336" s="165"/>
      <c r="Z1336" s="6"/>
      <c r="AA1336" s="6"/>
      <c r="AB1336" s="6"/>
      <c r="AC1336" s="6"/>
    </row>
    <row r="1337" spans="2:29" customFormat="1" x14ac:dyDescent="0.25">
      <c r="B1337" s="266"/>
      <c r="X1337" s="154"/>
      <c r="Y1337" s="165"/>
      <c r="Z1337" s="6"/>
      <c r="AA1337" s="6"/>
      <c r="AB1337" s="6"/>
      <c r="AC1337" s="6"/>
    </row>
    <row r="1338" spans="2:29" customFormat="1" x14ac:dyDescent="0.25">
      <c r="B1338" s="266"/>
      <c r="X1338" s="154"/>
      <c r="Y1338" s="165"/>
      <c r="Z1338" s="6"/>
      <c r="AA1338" s="6"/>
      <c r="AB1338" s="6"/>
      <c r="AC1338" s="6"/>
    </row>
    <row r="1339" spans="2:29" customFormat="1" x14ac:dyDescent="0.25">
      <c r="B1339" s="266"/>
      <c r="X1339" s="154"/>
      <c r="Y1339" s="165"/>
      <c r="Z1339" s="6"/>
      <c r="AA1339" s="6"/>
      <c r="AB1339" s="6"/>
      <c r="AC1339" s="6"/>
    </row>
    <row r="1340" spans="2:29" customFormat="1" x14ac:dyDescent="0.25">
      <c r="B1340" s="266"/>
      <c r="X1340" s="154"/>
      <c r="Y1340" s="165"/>
      <c r="Z1340" s="6"/>
      <c r="AA1340" s="6"/>
      <c r="AB1340" s="6"/>
      <c r="AC1340" s="6"/>
    </row>
    <row r="1341" spans="2:29" customFormat="1" x14ac:dyDescent="0.25">
      <c r="B1341" s="266"/>
      <c r="X1341" s="154"/>
      <c r="Y1341" s="165"/>
      <c r="Z1341" s="6"/>
      <c r="AA1341" s="6"/>
      <c r="AB1341" s="6"/>
      <c r="AC1341" s="6"/>
    </row>
    <row r="1342" spans="2:29" customFormat="1" x14ac:dyDescent="0.25">
      <c r="B1342" s="266"/>
      <c r="X1342" s="154"/>
      <c r="Y1342" s="165"/>
      <c r="Z1342" s="6"/>
      <c r="AA1342" s="6"/>
      <c r="AB1342" s="6"/>
      <c r="AC1342" s="6"/>
    </row>
    <row r="1343" spans="2:29" customFormat="1" x14ac:dyDescent="0.25">
      <c r="B1343" s="266"/>
      <c r="X1343" s="154"/>
      <c r="Y1343" s="165"/>
      <c r="Z1343" s="6"/>
      <c r="AA1343" s="6"/>
      <c r="AB1343" s="6"/>
      <c r="AC1343" s="6"/>
    </row>
    <row r="1344" spans="2:29" customFormat="1" x14ac:dyDescent="0.25">
      <c r="B1344" s="266"/>
      <c r="X1344" s="154"/>
      <c r="Y1344" s="165"/>
      <c r="Z1344" s="6"/>
      <c r="AA1344" s="6"/>
      <c r="AB1344" s="6"/>
      <c r="AC1344" s="6"/>
    </row>
    <row r="1345" spans="2:29" customFormat="1" x14ac:dyDescent="0.25">
      <c r="B1345" s="266"/>
      <c r="X1345" s="154"/>
      <c r="Y1345" s="165"/>
      <c r="Z1345" s="6"/>
      <c r="AA1345" s="6"/>
      <c r="AB1345" s="6"/>
      <c r="AC1345" s="6"/>
    </row>
    <row r="1346" spans="2:29" customFormat="1" x14ac:dyDescent="0.25">
      <c r="B1346" s="266"/>
      <c r="X1346" s="154"/>
      <c r="Y1346" s="165"/>
      <c r="Z1346" s="6"/>
      <c r="AA1346" s="6"/>
      <c r="AB1346" s="6"/>
      <c r="AC1346" s="6"/>
    </row>
    <row r="1347" spans="2:29" customFormat="1" x14ac:dyDescent="0.25">
      <c r="B1347" s="266"/>
      <c r="X1347" s="154"/>
      <c r="Y1347" s="165"/>
      <c r="Z1347" s="6"/>
      <c r="AA1347" s="6"/>
      <c r="AB1347" s="6"/>
      <c r="AC1347" s="6"/>
    </row>
    <row r="1348" spans="2:29" customFormat="1" x14ac:dyDescent="0.25">
      <c r="B1348" s="266"/>
      <c r="X1348" s="154"/>
      <c r="Y1348" s="165"/>
      <c r="Z1348" s="6"/>
      <c r="AA1348" s="6"/>
      <c r="AB1348" s="6"/>
      <c r="AC1348" s="6"/>
    </row>
    <row r="1349" spans="2:29" customFormat="1" x14ac:dyDescent="0.25">
      <c r="B1349" s="266"/>
      <c r="X1349" s="154"/>
      <c r="Y1349" s="165"/>
      <c r="Z1349" s="6"/>
      <c r="AA1349" s="6"/>
      <c r="AB1349" s="6"/>
      <c r="AC1349" s="6"/>
    </row>
    <row r="1350" spans="2:29" customFormat="1" x14ac:dyDescent="0.25">
      <c r="B1350" s="266"/>
      <c r="X1350" s="154"/>
      <c r="Y1350" s="165"/>
      <c r="Z1350" s="6"/>
      <c r="AA1350" s="6"/>
      <c r="AB1350" s="6"/>
      <c r="AC1350" s="6"/>
    </row>
    <row r="1351" spans="2:29" customFormat="1" x14ac:dyDescent="0.25">
      <c r="B1351" s="266"/>
      <c r="X1351" s="154"/>
      <c r="Y1351" s="165"/>
      <c r="Z1351" s="6"/>
      <c r="AA1351" s="6"/>
      <c r="AB1351" s="6"/>
      <c r="AC1351" s="6"/>
    </row>
    <row r="1352" spans="2:29" customFormat="1" x14ac:dyDescent="0.25">
      <c r="B1352" s="266"/>
      <c r="X1352" s="154"/>
      <c r="Y1352" s="165"/>
      <c r="Z1352" s="6"/>
      <c r="AA1352" s="6"/>
      <c r="AB1352" s="6"/>
      <c r="AC1352" s="6"/>
    </row>
    <row r="1353" spans="2:29" customFormat="1" x14ac:dyDescent="0.25">
      <c r="B1353" s="266"/>
      <c r="X1353" s="154"/>
      <c r="Y1353" s="165"/>
      <c r="Z1353" s="6"/>
      <c r="AA1353" s="6"/>
      <c r="AB1353" s="6"/>
      <c r="AC1353" s="6"/>
    </row>
    <row r="1354" spans="2:29" customFormat="1" x14ac:dyDescent="0.25">
      <c r="B1354" s="266"/>
      <c r="X1354" s="154"/>
      <c r="Y1354" s="165"/>
      <c r="Z1354" s="6"/>
      <c r="AA1354" s="6"/>
      <c r="AB1354" s="6"/>
      <c r="AC1354" s="6"/>
    </row>
    <row r="1355" spans="2:29" customFormat="1" x14ac:dyDescent="0.25">
      <c r="B1355" s="266"/>
      <c r="X1355" s="154"/>
      <c r="Y1355" s="165"/>
      <c r="Z1355" s="6"/>
      <c r="AA1355" s="6"/>
      <c r="AB1355" s="6"/>
      <c r="AC1355" s="6"/>
    </row>
    <row r="1356" spans="2:29" customFormat="1" x14ac:dyDescent="0.25">
      <c r="B1356" s="266"/>
      <c r="X1356" s="154"/>
      <c r="Y1356" s="165"/>
      <c r="Z1356" s="6"/>
      <c r="AA1356" s="6"/>
      <c r="AB1356" s="6"/>
      <c r="AC1356" s="6"/>
    </row>
    <row r="1357" spans="2:29" customFormat="1" x14ac:dyDescent="0.25">
      <c r="B1357" s="266"/>
      <c r="X1357" s="154"/>
      <c r="Y1357" s="165"/>
      <c r="Z1357" s="6"/>
      <c r="AA1357" s="6"/>
      <c r="AB1357" s="6"/>
      <c r="AC1357" s="6"/>
    </row>
    <row r="1358" spans="2:29" customFormat="1" x14ac:dyDescent="0.25">
      <c r="B1358" s="266"/>
      <c r="X1358" s="154"/>
      <c r="Y1358" s="165"/>
      <c r="Z1358" s="6"/>
      <c r="AA1358" s="6"/>
      <c r="AB1358" s="6"/>
      <c r="AC1358" s="6"/>
    </row>
    <row r="1359" spans="2:29" customFormat="1" x14ac:dyDescent="0.25">
      <c r="B1359" s="266"/>
      <c r="X1359" s="154"/>
      <c r="Y1359" s="165"/>
      <c r="Z1359" s="6"/>
      <c r="AA1359" s="6"/>
      <c r="AB1359" s="6"/>
      <c r="AC1359" s="6"/>
    </row>
    <row r="1360" spans="2:29" customFormat="1" x14ac:dyDescent="0.25">
      <c r="B1360" s="266"/>
      <c r="X1360" s="154"/>
      <c r="Y1360" s="165"/>
      <c r="Z1360" s="6"/>
      <c r="AA1360" s="6"/>
      <c r="AB1360" s="6"/>
      <c r="AC1360" s="6"/>
    </row>
    <row r="1361" spans="2:29" customFormat="1" x14ac:dyDescent="0.25">
      <c r="B1361" s="266"/>
      <c r="X1361" s="154"/>
      <c r="Y1361" s="165"/>
      <c r="Z1361" s="6"/>
      <c r="AA1361" s="6"/>
      <c r="AB1361" s="6"/>
      <c r="AC1361" s="6"/>
    </row>
    <row r="1362" spans="2:29" customFormat="1" x14ac:dyDescent="0.25">
      <c r="B1362" s="266"/>
      <c r="X1362" s="154"/>
      <c r="Y1362" s="165"/>
      <c r="Z1362" s="6"/>
      <c r="AA1362" s="6"/>
      <c r="AB1362" s="6"/>
      <c r="AC1362" s="6"/>
    </row>
    <row r="1363" spans="2:29" customFormat="1" x14ac:dyDescent="0.25">
      <c r="B1363" s="266"/>
      <c r="X1363" s="154"/>
      <c r="Y1363" s="165"/>
      <c r="Z1363" s="6"/>
      <c r="AA1363" s="6"/>
      <c r="AB1363" s="6"/>
      <c r="AC1363" s="6"/>
    </row>
    <row r="1364" spans="2:29" customFormat="1" x14ac:dyDescent="0.25">
      <c r="B1364" s="266"/>
      <c r="X1364" s="154"/>
      <c r="Y1364" s="165"/>
      <c r="Z1364" s="6"/>
      <c r="AA1364" s="6"/>
      <c r="AB1364" s="6"/>
      <c r="AC1364" s="6"/>
    </row>
    <row r="1365" spans="2:29" customFormat="1" x14ac:dyDescent="0.25">
      <c r="B1365" s="266"/>
      <c r="X1365" s="154"/>
      <c r="Y1365" s="165"/>
      <c r="Z1365" s="6"/>
      <c r="AA1365" s="6"/>
      <c r="AB1365" s="6"/>
      <c r="AC1365" s="6"/>
    </row>
    <row r="1366" spans="2:29" customFormat="1" x14ac:dyDescent="0.25">
      <c r="B1366" s="266"/>
      <c r="X1366" s="154"/>
      <c r="Y1366" s="165"/>
      <c r="Z1366" s="6"/>
      <c r="AA1366" s="6"/>
      <c r="AB1366" s="6"/>
      <c r="AC1366" s="6"/>
    </row>
    <row r="1367" spans="2:29" customFormat="1" x14ac:dyDescent="0.25">
      <c r="B1367" s="266"/>
      <c r="X1367" s="154"/>
      <c r="Y1367" s="165"/>
      <c r="Z1367" s="6"/>
      <c r="AA1367" s="6"/>
      <c r="AB1367" s="6"/>
      <c r="AC1367" s="6"/>
    </row>
    <row r="1368" spans="2:29" customFormat="1" x14ac:dyDescent="0.25">
      <c r="B1368" s="266"/>
      <c r="X1368" s="154"/>
      <c r="Y1368" s="165"/>
      <c r="Z1368" s="6"/>
      <c r="AA1368" s="6"/>
      <c r="AB1368" s="6"/>
      <c r="AC1368" s="6"/>
    </row>
    <row r="1369" spans="2:29" customFormat="1" x14ac:dyDescent="0.25">
      <c r="B1369" s="266"/>
      <c r="X1369" s="154"/>
      <c r="Y1369" s="165"/>
      <c r="Z1369" s="6"/>
      <c r="AA1369" s="6"/>
      <c r="AB1369" s="6"/>
      <c r="AC1369" s="6"/>
    </row>
    <row r="1370" spans="2:29" customFormat="1" x14ac:dyDescent="0.25">
      <c r="B1370" s="266"/>
      <c r="X1370" s="154"/>
      <c r="Y1370" s="165"/>
      <c r="Z1370" s="6"/>
      <c r="AA1370" s="6"/>
      <c r="AB1370" s="6"/>
      <c r="AC1370" s="6"/>
    </row>
    <row r="1371" spans="2:29" customFormat="1" x14ac:dyDescent="0.25">
      <c r="B1371" s="266"/>
      <c r="X1371" s="154"/>
      <c r="Y1371" s="165"/>
      <c r="Z1371" s="6"/>
      <c r="AA1371" s="6"/>
      <c r="AB1371" s="6"/>
      <c r="AC1371" s="6"/>
    </row>
    <row r="1372" spans="2:29" customFormat="1" x14ac:dyDescent="0.25">
      <c r="B1372" s="266"/>
      <c r="X1372" s="154"/>
      <c r="Y1372" s="165"/>
      <c r="Z1372" s="6"/>
      <c r="AA1372" s="6"/>
      <c r="AB1372" s="6"/>
      <c r="AC1372" s="6"/>
    </row>
    <row r="1373" spans="2:29" customFormat="1" x14ac:dyDescent="0.25">
      <c r="B1373" s="266"/>
      <c r="X1373" s="154"/>
      <c r="Y1373" s="165"/>
      <c r="Z1373" s="6"/>
      <c r="AA1373" s="6"/>
      <c r="AB1373" s="6"/>
      <c r="AC1373" s="6"/>
    </row>
    <row r="1374" spans="2:29" customFormat="1" x14ac:dyDescent="0.25">
      <c r="B1374" s="266"/>
      <c r="X1374" s="154"/>
      <c r="Y1374" s="165"/>
      <c r="Z1374" s="6"/>
      <c r="AA1374" s="6"/>
      <c r="AB1374" s="6"/>
      <c r="AC1374" s="6"/>
    </row>
    <row r="1375" spans="2:29" customFormat="1" x14ac:dyDescent="0.25">
      <c r="B1375" s="266"/>
      <c r="X1375" s="154"/>
      <c r="Y1375" s="165"/>
      <c r="Z1375" s="6"/>
      <c r="AA1375" s="6"/>
      <c r="AB1375" s="6"/>
      <c r="AC1375" s="6"/>
    </row>
    <row r="1376" spans="2:29" customFormat="1" x14ac:dyDescent="0.25">
      <c r="B1376" s="266"/>
      <c r="X1376" s="154"/>
      <c r="Y1376" s="165"/>
      <c r="Z1376" s="6"/>
      <c r="AA1376" s="6"/>
      <c r="AB1376" s="6"/>
      <c r="AC1376" s="6"/>
    </row>
    <row r="1377" spans="2:29" customFormat="1" x14ac:dyDescent="0.25">
      <c r="B1377" s="266"/>
      <c r="X1377" s="154"/>
      <c r="Y1377" s="165"/>
      <c r="Z1377" s="6"/>
      <c r="AA1377" s="6"/>
      <c r="AB1377" s="6"/>
      <c r="AC1377" s="6"/>
    </row>
    <row r="1378" spans="2:29" customFormat="1" x14ac:dyDescent="0.25">
      <c r="B1378" s="266"/>
      <c r="X1378" s="154"/>
      <c r="Y1378" s="165"/>
      <c r="Z1378" s="6"/>
      <c r="AA1378" s="6"/>
      <c r="AB1378" s="6"/>
      <c r="AC1378" s="6"/>
    </row>
    <row r="1379" spans="2:29" customFormat="1" x14ac:dyDescent="0.25">
      <c r="B1379" s="266"/>
      <c r="X1379" s="154"/>
      <c r="Y1379" s="165"/>
      <c r="Z1379" s="6"/>
      <c r="AA1379" s="6"/>
      <c r="AB1379" s="6"/>
      <c r="AC1379" s="6"/>
    </row>
    <row r="1380" spans="2:29" customFormat="1" x14ac:dyDescent="0.25">
      <c r="B1380" s="266"/>
      <c r="X1380" s="154"/>
      <c r="Y1380" s="165"/>
      <c r="Z1380" s="6"/>
      <c r="AA1380" s="6"/>
      <c r="AB1380" s="6"/>
      <c r="AC1380" s="6"/>
    </row>
    <row r="1381" spans="2:29" customFormat="1" x14ac:dyDescent="0.25">
      <c r="B1381" s="266"/>
      <c r="X1381" s="154"/>
      <c r="Y1381" s="165"/>
      <c r="Z1381" s="6"/>
      <c r="AA1381" s="6"/>
      <c r="AB1381" s="6"/>
      <c r="AC1381" s="6"/>
    </row>
    <row r="1382" spans="2:29" customFormat="1" x14ac:dyDescent="0.25">
      <c r="B1382" s="266"/>
      <c r="X1382" s="154"/>
      <c r="Y1382" s="165"/>
      <c r="Z1382" s="6"/>
      <c r="AA1382" s="6"/>
      <c r="AB1382" s="6"/>
      <c r="AC1382" s="6"/>
    </row>
    <row r="1383" spans="2:29" customFormat="1" x14ac:dyDescent="0.25">
      <c r="B1383" s="266"/>
      <c r="X1383" s="154"/>
      <c r="Y1383" s="165"/>
      <c r="Z1383" s="6"/>
      <c r="AA1383" s="6"/>
      <c r="AB1383" s="6"/>
      <c r="AC1383" s="6"/>
    </row>
    <row r="1384" spans="2:29" customFormat="1" x14ac:dyDescent="0.25">
      <c r="B1384" s="266"/>
      <c r="X1384" s="154"/>
      <c r="Y1384" s="165"/>
      <c r="Z1384" s="6"/>
      <c r="AA1384" s="6"/>
      <c r="AB1384" s="6"/>
      <c r="AC1384" s="6"/>
    </row>
    <row r="1385" spans="2:29" customFormat="1" x14ac:dyDescent="0.25">
      <c r="B1385" s="266"/>
      <c r="X1385" s="154"/>
      <c r="Y1385" s="165"/>
      <c r="Z1385" s="6"/>
      <c r="AA1385" s="6"/>
      <c r="AB1385" s="6"/>
      <c r="AC1385" s="6"/>
    </row>
    <row r="1386" spans="2:29" customFormat="1" x14ac:dyDescent="0.25">
      <c r="B1386" s="266"/>
      <c r="X1386" s="154"/>
      <c r="Y1386" s="165"/>
      <c r="Z1386" s="6"/>
      <c r="AA1386" s="6"/>
      <c r="AB1386" s="6"/>
      <c r="AC1386" s="6"/>
    </row>
    <row r="1387" spans="2:29" customFormat="1" x14ac:dyDescent="0.25">
      <c r="B1387" s="266"/>
      <c r="X1387" s="154"/>
      <c r="Y1387" s="165"/>
      <c r="Z1387" s="6"/>
      <c r="AA1387" s="6"/>
      <c r="AB1387" s="6"/>
      <c r="AC1387" s="6"/>
    </row>
    <row r="1388" spans="2:29" customFormat="1" x14ac:dyDescent="0.25">
      <c r="B1388" s="266"/>
      <c r="X1388" s="154"/>
      <c r="Y1388" s="165"/>
      <c r="Z1388" s="6"/>
      <c r="AA1388" s="6"/>
      <c r="AB1388" s="6"/>
      <c r="AC1388" s="6"/>
    </row>
    <row r="1389" spans="2:29" customFormat="1" x14ac:dyDescent="0.25">
      <c r="B1389" s="266"/>
      <c r="X1389" s="154"/>
      <c r="Y1389" s="165"/>
      <c r="Z1389" s="6"/>
      <c r="AA1389" s="6"/>
      <c r="AB1389" s="6"/>
      <c r="AC1389" s="6"/>
    </row>
    <row r="1390" spans="2:29" customFormat="1" x14ac:dyDescent="0.25">
      <c r="B1390" s="266"/>
      <c r="X1390" s="154"/>
      <c r="Y1390" s="165"/>
      <c r="Z1390" s="6"/>
      <c r="AA1390" s="6"/>
      <c r="AB1390" s="6"/>
      <c r="AC1390" s="6"/>
    </row>
    <row r="1391" spans="2:29" customFormat="1" x14ac:dyDescent="0.25">
      <c r="B1391" s="266"/>
      <c r="X1391" s="154"/>
      <c r="Y1391" s="165"/>
      <c r="Z1391" s="6"/>
      <c r="AA1391" s="6"/>
      <c r="AB1391" s="6"/>
      <c r="AC1391" s="6"/>
    </row>
    <row r="1392" spans="2:29" customFormat="1" x14ac:dyDescent="0.25">
      <c r="B1392" s="266"/>
      <c r="X1392" s="154"/>
      <c r="Y1392" s="165"/>
      <c r="Z1392" s="6"/>
      <c r="AA1392" s="6"/>
      <c r="AB1392" s="6"/>
      <c r="AC1392" s="6"/>
    </row>
    <row r="1393" spans="2:29" customFormat="1" x14ac:dyDescent="0.25">
      <c r="B1393" s="266"/>
      <c r="X1393" s="154"/>
      <c r="Y1393" s="165"/>
      <c r="Z1393" s="6"/>
      <c r="AA1393" s="6"/>
      <c r="AB1393" s="6"/>
      <c r="AC1393" s="6"/>
    </row>
    <row r="1394" spans="2:29" customFormat="1" x14ac:dyDescent="0.25">
      <c r="B1394" s="266"/>
      <c r="X1394" s="154"/>
      <c r="Y1394" s="165"/>
      <c r="Z1394" s="6"/>
      <c r="AA1394" s="6"/>
      <c r="AB1394" s="6"/>
      <c r="AC1394" s="6"/>
    </row>
    <row r="1395" spans="2:29" customFormat="1" x14ac:dyDescent="0.25">
      <c r="B1395" s="266"/>
      <c r="X1395" s="154"/>
      <c r="Y1395" s="165"/>
      <c r="Z1395" s="6"/>
      <c r="AA1395" s="6"/>
      <c r="AB1395" s="6"/>
      <c r="AC1395" s="6"/>
    </row>
    <row r="1396" spans="2:29" customFormat="1" x14ac:dyDescent="0.25">
      <c r="B1396" s="266"/>
      <c r="X1396" s="154"/>
      <c r="Y1396" s="165"/>
      <c r="Z1396" s="6"/>
      <c r="AA1396" s="6"/>
      <c r="AB1396" s="6"/>
      <c r="AC1396" s="6"/>
    </row>
    <row r="1397" spans="2:29" customFormat="1" x14ac:dyDescent="0.25">
      <c r="B1397" s="266"/>
      <c r="X1397" s="154"/>
      <c r="Y1397" s="165"/>
      <c r="Z1397" s="6"/>
      <c r="AA1397" s="6"/>
      <c r="AB1397" s="6"/>
      <c r="AC1397" s="6"/>
    </row>
    <row r="1398" spans="2:29" customFormat="1" x14ac:dyDescent="0.25">
      <c r="B1398" s="266"/>
      <c r="X1398" s="154"/>
      <c r="Y1398" s="165"/>
      <c r="Z1398" s="6"/>
      <c r="AA1398" s="6"/>
      <c r="AB1398" s="6"/>
      <c r="AC1398" s="6"/>
    </row>
    <row r="1399" spans="2:29" customFormat="1" x14ac:dyDescent="0.25">
      <c r="B1399" s="266"/>
      <c r="X1399" s="154"/>
      <c r="Y1399" s="165"/>
      <c r="Z1399" s="6"/>
      <c r="AA1399" s="6"/>
      <c r="AB1399" s="6"/>
      <c r="AC1399" s="6"/>
    </row>
    <row r="1400" spans="2:29" customFormat="1" x14ac:dyDescent="0.25">
      <c r="B1400" s="266"/>
      <c r="X1400" s="154"/>
      <c r="Y1400" s="165"/>
      <c r="Z1400" s="6"/>
      <c r="AA1400" s="6"/>
      <c r="AB1400" s="6"/>
      <c r="AC1400" s="6"/>
    </row>
    <row r="1401" spans="2:29" customFormat="1" x14ac:dyDescent="0.25">
      <c r="B1401" s="266"/>
      <c r="X1401" s="154"/>
      <c r="Y1401" s="165"/>
      <c r="Z1401" s="6"/>
      <c r="AA1401" s="6"/>
      <c r="AB1401" s="6"/>
      <c r="AC1401" s="6"/>
    </row>
    <row r="1402" spans="2:29" customFormat="1" x14ac:dyDescent="0.25">
      <c r="B1402" s="266"/>
      <c r="X1402" s="154"/>
      <c r="Y1402" s="165"/>
      <c r="Z1402" s="6"/>
      <c r="AA1402" s="6"/>
      <c r="AB1402" s="6"/>
      <c r="AC1402" s="6"/>
    </row>
    <row r="1403" spans="2:29" customFormat="1" x14ac:dyDescent="0.25">
      <c r="B1403" s="266"/>
      <c r="X1403" s="154"/>
      <c r="Y1403" s="165"/>
      <c r="Z1403" s="6"/>
      <c r="AA1403" s="6"/>
      <c r="AB1403" s="6"/>
      <c r="AC1403" s="6"/>
    </row>
    <row r="1404" spans="2:29" customFormat="1" x14ac:dyDescent="0.25">
      <c r="B1404" s="266"/>
      <c r="X1404" s="154"/>
      <c r="Y1404" s="165"/>
      <c r="Z1404" s="6"/>
      <c r="AA1404" s="6"/>
      <c r="AB1404" s="6"/>
      <c r="AC1404" s="6"/>
    </row>
    <row r="1405" spans="2:29" customFormat="1" x14ac:dyDescent="0.25">
      <c r="B1405" s="266"/>
      <c r="X1405" s="154"/>
      <c r="Y1405" s="165"/>
      <c r="Z1405" s="6"/>
      <c r="AA1405" s="6"/>
      <c r="AB1405" s="6"/>
      <c r="AC1405" s="6"/>
    </row>
    <row r="1406" spans="2:29" customFormat="1" x14ac:dyDescent="0.25">
      <c r="B1406" s="266"/>
      <c r="X1406" s="154"/>
      <c r="Y1406" s="165"/>
      <c r="Z1406" s="6"/>
      <c r="AA1406" s="6"/>
      <c r="AB1406" s="6"/>
      <c r="AC1406" s="6"/>
    </row>
    <row r="1407" spans="2:29" customFormat="1" x14ac:dyDescent="0.25">
      <c r="B1407" s="266"/>
      <c r="X1407" s="154"/>
      <c r="Y1407" s="165"/>
      <c r="Z1407" s="6"/>
      <c r="AA1407" s="6"/>
      <c r="AB1407" s="6"/>
      <c r="AC1407" s="6"/>
    </row>
    <row r="1408" spans="2:29" customFormat="1" x14ac:dyDescent="0.25">
      <c r="B1408" s="266"/>
      <c r="X1408" s="154"/>
      <c r="Y1408" s="165"/>
      <c r="Z1408" s="6"/>
      <c r="AA1408" s="6"/>
      <c r="AB1408" s="6"/>
      <c r="AC1408" s="6"/>
    </row>
    <row r="1409" spans="2:29" customFormat="1" x14ac:dyDescent="0.25">
      <c r="B1409" s="266"/>
      <c r="X1409" s="154"/>
      <c r="Y1409" s="165"/>
      <c r="Z1409" s="6"/>
      <c r="AA1409" s="6"/>
      <c r="AB1409" s="6"/>
      <c r="AC1409" s="6"/>
    </row>
    <row r="1410" spans="2:29" customFormat="1" x14ac:dyDescent="0.25">
      <c r="B1410" s="266"/>
      <c r="X1410" s="154"/>
      <c r="Y1410" s="165"/>
      <c r="Z1410" s="6"/>
      <c r="AA1410" s="6"/>
      <c r="AB1410" s="6"/>
      <c r="AC1410" s="6"/>
    </row>
    <row r="1411" spans="2:29" customFormat="1" x14ac:dyDescent="0.25">
      <c r="B1411" s="266"/>
      <c r="X1411" s="154"/>
      <c r="Y1411" s="165"/>
      <c r="Z1411" s="6"/>
      <c r="AA1411" s="6"/>
      <c r="AB1411" s="6"/>
      <c r="AC1411" s="6"/>
    </row>
    <row r="1412" spans="2:29" customFormat="1" x14ac:dyDescent="0.25">
      <c r="B1412" s="266"/>
      <c r="X1412" s="154"/>
      <c r="Y1412" s="165"/>
      <c r="Z1412" s="6"/>
      <c r="AA1412" s="6"/>
      <c r="AB1412" s="6"/>
      <c r="AC1412" s="6"/>
    </row>
    <row r="1413" spans="2:29" customFormat="1" x14ac:dyDescent="0.25">
      <c r="B1413" s="266"/>
      <c r="X1413" s="154"/>
      <c r="Y1413" s="165"/>
      <c r="Z1413" s="6"/>
      <c r="AA1413" s="6"/>
      <c r="AB1413" s="6"/>
      <c r="AC1413" s="6"/>
    </row>
    <row r="1414" spans="2:29" customFormat="1" x14ac:dyDescent="0.25">
      <c r="B1414" s="266"/>
      <c r="X1414" s="154"/>
      <c r="Y1414" s="165"/>
      <c r="Z1414" s="6"/>
      <c r="AA1414" s="6"/>
      <c r="AB1414" s="6"/>
      <c r="AC1414" s="6"/>
    </row>
    <row r="1415" spans="2:29" customFormat="1" x14ac:dyDescent="0.25">
      <c r="B1415" s="266"/>
      <c r="X1415" s="154"/>
      <c r="Y1415" s="165"/>
      <c r="Z1415" s="6"/>
      <c r="AA1415" s="6"/>
      <c r="AB1415" s="6"/>
      <c r="AC1415" s="6"/>
    </row>
    <row r="1416" spans="2:29" customFormat="1" x14ac:dyDescent="0.25">
      <c r="B1416" s="266"/>
      <c r="X1416" s="154"/>
      <c r="Y1416" s="165"/>
      <c r="Z1416" s="6"/>
      <c r="AA1416" s="6"/>
      <c r="AB1416" s="6"/>
      <c r="AC1416" s="6"/>
    </row>
    <row r="1417" spans="2:29" customFormat="1" x14ac:dyDescent="0.25">
      <c r="B1417" s="266"/>
      <c r="X1417" s="154"/>
      <c r="Y1417" s="165"/>
      <c r="Z1417" s="6"/>
      <c r="AA1417" s="6"/>
      <c r="AB1417" s="6"/>
      <c r="AC1417" s="6"/>
    </row>
    <row r="1418" spans="2:29" customFormat="1" x14ac:dyDescent="0.25">
      <c r="B1418" s="266"/>
      <c r="X1418" s="154"/>
      <c r="Y1418" s="165"/>
      <c r="Z1418" s="6"/>
      <c r="AA1418" s="6"/>
      <c r="AB1418" s="6"/>
      <c r="AC1418" s="6"/>
    </row>
    <row r="1419" spans="2:29" customFormat="1" x14ac:dyDescent="0.25">
      <c r="B1419" s="266"/>
      <c r="X1419" s="154"/>
      <c r="Y1419" s="165"/>
      <c r="Z1419" s="6"/>
      <c r="AA1419" s="6"/>
      <c r="AB1419" s="6"/>
      <c r="AC1419" s="6"/>
    </row>
    <row r="1420" spans="2:29" customFormat="1" x14ac:dyDescent="0.25">
      <c r="B1420" s="266"/>
      <c r="X1420" s="154"/>
      <c r="Y1420" s="165"/>
      <c r="Z1420" s="6"/>
      <c r="AA1420" s="6"/>
      <c r="AB1420" s="6"/>
      <c r="AC1420" s="6"/>
    </row>
    <row r="1421" spans="2:29" customFormat="1" x14ac:dyDescent="0.25">
      <c r="B1421" s="266"/>
      <c r="X1421" s="154"/>
      <c r="Y1421" s="165"/>
      <c r="Z1421" s="6"/>
      <c r="AA1421" s="6"/>
      <c r="AB1421" s="6"/>
      <c r="AC1421" s="6"/>
    </row>
    <row r="1422" spans="2:29" customFormat="1" x14ac:dyDescent="0.25">
      <c r="B1422" s="266"/>
      <c r="X1422" s="154"/>
      <c r="Y1422" s="165"/>
      <c r="Z1422" s="6"/>
      <c r="AA1422" s="6"/>
      <c r="AB1422" s="6"/>
      <c r="AC1422" s="6"/>
    </row>
    <row r="1423" spans="2:29" customFormat="1" x14ac:dyDescent="0.25">
      <c r="B1423" s="266"/>
      <c r="X1423" s="154"/>
      <c r="Y1423" s="165"/>
      <c r="Z1423" s="6"/>
      <c r="AA1423" s="6"/>
      <c r="AB1423" s="6"/>
      <c r="AC1423" s="6"/>
    </row>
    <row r="1424" spans="2:29" customFormat="1" x14ac:dyDescent="0.25">
      <c r="B1424" s="266"/>
      <c r="X1424" s="154"/>
      <c r="Y1424" s="165"/>
      <c r="Z1424" s="6"/>
      <c r="AA1424" s="6"/>
      <c r="AB1424" s="6"/>
      <c r="AC1424" s="6"/>
    </row>
    <row r="1425" spans="2:29" customFormat="1" x14ac:dyDescent="0.25">
      <c r="B1425" s="266"/>
      <c r="X1425" s="154"/>
      <c r="Y1425" s="165"/>
      <c r="Z1425" s="6"/>
      <c r="AA1425" s="6"/>
      <c r="AB1425" s="6"/>
      <c r="AC1425" s="6"/>
    </row>
    <row r="1426" spans="2:29" customFormat="1" x14ac:dyDescent="0.25">
      <c r="B1426" s="266"/>
      <c r="X1426" s="154"/>
      <c r="Y1426" s="165"/>
      <c r="Z1426" s="6"/>
      <c r="AA1426" s="6"/>
      <c r="AB1426" s="6"/>
      <c r="AC1426" s="6"/>
    </row>
    <row r="1427" spans="2:29" customFormat="1" x14ac:dyDescent="0.25">
      <c r="B1427" s="266"/>
      <c r="X1427" s="154"/>
      <c r="Y1427" s="165"/>
      <c r="Z1427" s="6"/>
      <c r="AA1427" s="6"/>
      <c r="AB1427" s="6"/>
      <c r="AC1427" s="6"/>
    </row>
    <row r="1428" spans="2:29" customFormat="1" x14ac:dyDescent="0.25">
      <c r="B1428" s="266"/>
      <c r="X1428" s="154"/>
      <c r="Y1428" s="165"/>
      <c r="Z1428" s="6"/>
      <c r="AA1428" s="6"/>
      <c r="AB1428" s="6"/>
      <c r="AC1428" s="6"/>
    </row>
    <row r="1429" spans="2:29" customFormat="1" x14ac:dyDescent="0.25">
      <c r="B1429" s="266"/>
      <c r="X1429" s="154"/>
      <c r="Y1429" s="165"/>
      <c r="Z1429" s="6"/>
      <c r="AA1429" s="6"/>
      <c r="AB1429" s="6"/>
      <c r="AC1429" s="6"/>
    </row>
    <row r="1430" spans="2:29" customFormat="1" x14ac:dyDescent="0.25">
      <c r="B1430" s="266"/>
      <c r="X1430" s="154"/>
      <c r="Y1430" s="165"/>
      <c r="Z1430" s="6"/>
      <c r="AA1430" s="6"/>
      <c r="AB1430" s="6"/>
      <c r="AC1430" s="6"/>
    </row>
    <row r="1431" spans="2:29" customFormat="1" x14ac:dyDescent="0.25">
      <c r="B1431" s="266"/>
      <c r="X1431" s="154"/>
      <c r="Y1431" s="165"/>
      <c r="Z1431" s="6"/>
      <c r="AA1431" s="6"/>
      <c r="AB1431" s="6"/>
      <c r="AC1431" s="6"/>
    </row>
    <row r="1432" spans="2:29" customFormat="1" x14ac:dyDescent="0.25">
      <c r="B1432" s="266"/>
      <c r="X1432" s="154"/>
      <c r="Y1432" s="165"/>
      <c r="Z1432" s="6"/>
      <c r="AA1432" s="6"/>
      <c r="AB1432" s="6"/>
      <c r="AC1432" s="6"/>
    </row>
    <row r="1433" spans="2:29" customFormat="1" x14ac:dyDescent="0.25">
      <c r="B1433" s="266"/>
      <c r="X1433" s="154"/>
      <c r="Y1433" s="165"/>
      <c r="Z1433" s="6"/>
      <c r="AA1433" s="6"/>
      <c r="AB1433" s="6"/>
      <c r="AC1433" s="6"/>
    </row>
    <row r="1434" spans="2:29" customFormat="1" x14ac:dyDescent="0.25">
      <c r="B1434" s="266"/>
      <c r="X1434" s="154"/>
      <c r="Y1434" s="165"/>
      <c r="Z1434" s="6"/>
      <c r="AA1434" s="6"/>
      <c r="AB1434" s="6"/>
      <c r="AC1434" s="6"/>
    </row>
    <row r="1435" spans="2:29" customFormat="1" x14ac:dyDescent="0.25">
      <c r="B1435" s="266"/>
      <c r="X1435" s="154"/>
      <c r="Y1435" s="165"/>
      <c r="Z1435" s="6"/>
      <c r="AA1435" s="6"/>
      <c r="AB1435" s="6"/>
      <c r="AC1435" s="6"/>
    </row>
    <row r="1436" spans="2:29" customFormat="1" x14ac:dyDescent="0.25">
      <c r="B1436" s="266"/>
      <c r="X1436" s="154"/>
      <c r="Y1436" s="165"/>
      <c r="Z1436" s="6"/>
      <c r="AA1436" s="6"/>
      <c r="AB1436" s="6"/>
      <c r="AC1436" s="6"/>
    </row>
    <row r="1437" spans="2:29" customFormat="1" x14ac:dyDescent="0.25">
      <c r="B1437" s="266"/>
      <c r="X1437" s="154"/>
      <c r="Y1437" s="165"/>
      <c r="Z1437" s="6"/>
      <c r="AA1437" s="6"/>
      <c r="AB1437" s="6"/>
      <c r="AC1437" s="6"/>
    </row>
    <row r="1438" spans="2:29" customFormat="1" x14ac:dyDescent="0.25">
      <c r="B1438" s="266"/>
      <c r="X1438" s="154"/>
      <c r="Y1438" s="165"/>
      <c r="Z1438" s="6"/>
      <c r="AA1438" s="6"/>
      <c r="AB1438" s="6"/>
      <c r="AC1438" s="6"/>
    </row>
    <row r="1439" spans="2:29" customFormat="1" x14ac:dyDescent="0.25">
      <c r="B1439" s="266"/>
      <c r="X1439" s="154"/>
      <c r="Y1439" s="165"/>
      <c r="Z1439" s="6"/>
      <c r="AA1439" s="6"/>
      <c r="AB1439" s="6"/>
      <c r="AC1439" s="6"/>
    </row>
    <row r="1440" spans="2:29" customFormat="1" x14ac:dyDescent="0.25">
      <c r="B1440" s="266"/>
      <c r="X1440" s="154"/>
      <c r="Y1440" s="165"/>
      <c r="Z1440" s="6"/>
      <c r="AA1440" s="6"/>
      <c r="AB1440" s="6"/>
      <c r="AC1440" s="6"/>
    </row>
    <row r="1441" spans="2:29" customFormat="1" x14ac:dyDescent="0.25">
      <c r="B1441" s="266"/>
      <c r="X1441" s="154"/>
      <c r="Y1441" s="165"/>
      <c r="Z1441" s="6"/>
      <c r="AA1441" s="6"/>
      <c r="AB1441" s="6"/>
      <c r="AC1441" s="6"/>
    </row>
    <row r="1442" spans="2:29" customFormat="1" x14ac:dyDescent="0.25">
      <c r="B1442" s="266"/>
      <c r="X1442" s="154"/>
      <c r="Y1442" s="165"/>
      <c r="Z1442" s="6"/>
      <c r="AA1442" s="6"/>
      <c r="AB1442" s="6"/>
      <c r="AC1442" s="6"/>
    </row>
    <row r="1443" spans="2:29" customFormat="1" x14ac:dyDescent="0.25">
      <c r="B1443" s="266"/>
      <c r="X1443" s="154"/>
      <c r="Y1443" s="165"/>
      <c r="Z1443" s="6"/>
      <c r="AA1443" s="6"/>
      <c r="AB1443" s="6"/>
      <c r="AC1443" s="6"/>
    </row>
    <row r="1444" spans="2:29" customFormat="1" x14ac:dyDescent="0.25">
      <c r="B1444" s="266"/>
      <c r="X1444" s="154"/>
      <c r="Y1444" s="165"/>
      <c r="Z1444" s="6"/>
      <c r="AA1444" s="6"/>
      <c r="AB1444" s="6"/>
      <c r="AC1444" s="6"/>
    </row>
    <row r="1445" spans="2:29" customFormat="1" x14ac:dyDescent="0.25">
      <c r="B1445" s="266"/>
      <c r="X1445" s="154"/>
      <c r="Y1445" s="165"/>
      <c r="Z1445" s="6"/>
      <c r="AA1445" s="6"/>
      <c r="AB1445" s="6"/>
      <c r="AC1445" s="6"/>
    </row>
    <row r="1446" spans="2:29" customFormat="1" x14ac:dyDescent="0.25">
      <c r="B1446" s="266"/>
      <c r="X1446" s="154"/>
      <c r="Y1446" s="165"/>
      <c r="Z1446" s="6"/>
      <c r="AA1446" s="6"/>
      <c r="AB1446" s="6"/>
      <c r="AC1446" s="6"/>
    </row>
    <row r="1447" spans="2:29" customFormat="1" x14ac:dyDescent="0.25">
      <c r="B1447" s="266"/>
      <c r="X1447" s="154"/>
      <c r="Y1447" s="165"/>
      <c r="Z1447" s="6"/>
      <c r="AA1447" s="6"/>
      <c r="AB1447" s="6"/>
      <c r="AC1447" s="6"/>
    </row>
    <row r="1448" spans="2:29" customFormat="1" x14ac:dyDescent="0.25">
      <c r="B1448" s="266"/>
      <c r="X1448" s="154"/>
      <c r="Y1448" s="165"/>
      <c r="Z1448" s="6"/>
      <c r="AA1448" s="6"/>
      <c r="AB1448" s="6"/>
      <c r="AC1448" s="6"/>
    </row>
    <row r="1449" spans="2:29" customFormat="1" x14ac:dyDescent="0.25">
      <c r="B1449" s="266"/>
      <c r="X1449" s="154"/>
      <c r="Y1449" s="165"/>
      <c r="Z1449" s="6"/>
      <c r="AA1449" s="6"/>
      <c r="AB1449" s="6"/>
      <c r="AC1449" s="6"/>
    </row>
    <row r="1450" spans="2:29" customFormat="1" x14ac:dyDescent="0.25">
      <c r="B1450" s="266"/>
      <c r="X1450" s="154"/>
      <c r="Y1450" s="165"/>
      <c r="Z1450" s="6"/>
      <c r="AA1450" s="6"/>
      <c r="AB1450" s="6"/>
      <c r="AC1450" s="6"/>
    </row>
    <row r="1451" spans="2:29" customFormat="1" x14ac:dyDescent="0.25">
      <c r="B1451" s="266"/>
      <c r="X1451" s="154"/>
      <c r="Y1451" s="165"/>
      <c r="Z1451" s="6"/>
      <c r="AA1451" s="6"/>
      <c r="AB1451" s="6"/>
      <c r="AC1451" s="6"/>
    </row>
    <row r="1452" spans="2:29" customFormat="1" x14ac:dyDescent="0.25">
      <c r="B1452" s="266"/>
      <c r="X1452" s="154"/>
      <c r="Y1452" s="165"/>
      <c r="Z1452" s="6"/>
      <c r="AA1452" s="6"/>
      <c r="AB1452" s="6"/>
      <c r="AC1452" s="6"/>
    </row>
    <row r="1453" spans="2:29" customFormat="1" x14ac:dyDescent="0.25">
      <c r="B1453" s="266"/>
      <c r="X1453" s="154"/>
      <c r="Y1453" s="165"/>
      <c r="Z1453" s="6"/>
      <c r="AA1453" s="6"/>
      <c r="AB1453" s="6"/>
      <c r="AC1453" s="6"/>
    </row>
    <row r="1454" spans="2:29" customFormat="1" x14ac:dyDescent="0.25">
      <c r="B1454" s="266"/>
      <c r="X1454" s="154"/>
      <c r="Y1454" s="165"/>
      <c r="Z1454" s="6"/>
      <c r="AA1454" s="6"/>
      <c r="AB1454" s="6"/>
      <c r="AC1454" s="6"/>
    </row>
    <row r="1455" spans="2:29" customFormat="1" x14ac:dyDescent="0.25">
      <c r="B1455" s="266"/>
      <c r="X1455" s="154"/>
      <c r="Y1455" s="165"/>
      <c r="Z1455" s="6"/>
      <c r="AA1455" s="6"/>
      <c r="AB1455" s="6"/>
      <c r="AC1455" s="6"/>
    </row>
    <row r="1456" spans="2:29" customFormat="1" x14ac:dyDescent="0.25">
      <c r="B1456" s="266"/>
      <c r="X1456" s="154"/>
      <c r="Y1456" s="165"/>
      <c r="Z1456" s="6"/>
      <c r="AA1456" s="6"/>
      <c r="AB1456" s="6"/>
      <c r="AC1456" s="6"/>
    </row>
    <row r="1457" spans="2:29" customFormat="1" x14ac:dyDescent="0.25">
      <c r="B1457" s="266"/>
      <c r="X1457" s="154"/>
      <c r="Y1457" s="165"/>
      <c r="Z1457" s="6"/>
      <c r="AA1457" s="6"/>
      <c r="AB1457" s="6"/>
      <c r="AC1457" s="6"/>
    </row>
    <row r="1458" spans="2:29" customFormat="1" x14ac:dyDescent="0.25">
      <c r="B1458" s="266"/>
      <c r="X1458" s="154"/>
      <c r="Y1458" s="165"/>
      <c r="Z1458" s="6"/>
      <c r="AA1458" s="6"/>
      <c r="AB1458" s="6"/>
      <c r="AC1458" s="6"/>
    </row>
    <row r="1459" spans="2:29" customFormat="1" x14ac:dyDescent="0.25">
      <c r="B1459" s="266"/>
      <c r="X1459" s="154"/>
      <c r="Y1459" s="165"/>
      <c r="Z1459" s="6"/>
      <c r="AA1459" s="6"/>
      <c r="AB1459" s="6"/>
      <c r="AC1459" s="6"/>
    </row>
    <row r="1460" spans="2:29" customFormat="1" x14ac:dyDescent="0.25">
      <c r="B1460" s="266"/>
      <c r="X1460" s="154"/>
      <c r="Y1460" s="165"/>
      <c r="Z1460" s="6"/>
      <c r="AA1460" s="6"/>
      <c r="AB1460" s="6"/>
      <c r="AC1460" s="6"/>
    </row>
    <row r="1461" spans="2:29" customFormat="1" x14ac:dyDescent="0.25">
      <c r="B1461" s="266"/>
      <c r="X1461" s="154"/>
      <c r="Y1461" s="165"/>
      <c r="Z1461" s="6"/>
      <c r="AA1461" s="6"/>
      <c r="AB1461" s="6"/>
      <c r="AC1461" s="6"/>
    </row>
    <row r="1462" spans="2:29" customFormat="1" x14ac:dyDescent="0.25">
      <c r="B1462" s="266"/>
      <c r="X1462" s="154"/>
      <c r="Y1462" s="165"/>
      <c r="Z1462" s="6"/>
      <c r="AA1462" s="6"/>
      <c r="AB1462" s="6"/>
      <c r="AC1462" s="6"/>
    </row>
    <row r="1463" spans="2:29" customFormat="1" x14ac:dyDescent="0.25">
      <c r="B1463" s="266"/>
      <c r="X1463" s="154"/>
      <c r="Y1463" s="165"/>
      <c r="Z1463" s="6"/>
      <c r="AA1463" s="6"/>
      <c r="AB1463" s="6"/>
      <c r="AC1463" s="6"/>
    </row>
    <row r="1464" spans="2:29" customFormat="1" x14ac:dyDescent="0.25">
      <c r="B1464" s="266"/>
      <c r="X1464" s="154"/>
      <c r="Y1464" s="165"/>
      <c r="Z1464" s="6"/>
      <c r="AA1464" s="6"/>
      <c r="AB1464" s="6"/>
      <c r="AC1464" s="6"/>
    </row>
    <row r="1465" spans="2:29" customFormat="1" x14ac:dyDescent="0.25">
      <c r="B1465" s="266"/>
      <c r="X1465" s="154"/>
      <c r="Y1465" s="165"/>
      <c r="Z1465" s="6"/>
      <c r="AA1465" s="6"/>
      <c r="AB1465" s="6"/>
      <c r="AC1465" s="6"/>
    </row>
    <row r="1466" spans="2:29" customFormat="1" x14ac:dyDescent="0.25">
      <c r="B1466" s="266"/>
      <c r="X1466" s="154"/>
      <c r="Y1466" s="165"/>
      <c r="Z1466" s="6"/>
      <c r="AA1466" s="6"/>
      <c r="AB1466" s="6"/>
      <c r="AC1466" s="6"/>
    </row>
    <row r="1467" spans="2:29" customFormat="1" x14ac:dyDescent="0.25">
      <c r="B1467" s="266"/>
      <c r="X1467" s="154"/>
      <c r="Y1467" s="165"/>
      <c r="Z1467" s="6"/>
      <c r="AA1467" s="6"/>
      <c r="AB1467" s="6"/>
      <c r="AC1467" s="6"/>
    </row>
    <row r="1468" spans="2:29" customFormat="1" x14ac:dyDescent="0.25">
      <c r="B1468" s="266"/>
      <c r="X1468" s="154"/>
      <c r="Y1468" s="165"/>
      <c r="Z1468" s="6"/>
      <c r="AA1468" s="6"/>
      <c r="AB1468" s="6"/>
      <c r="AC1468" s="6"/>
    </row>
    <row r="1469" spans="2:29" customFormat="1" x14ac:dyDescent="0.25">
      <c r="B1469" s="266"/>
      <c r="X1469" s="154"/>
      <c r="Y1469" s="165"/>
      <c r="Z1469" s="6"/>
      <c r="AA1469" s="6"/>
      <c r="AB1469" s="6"/>
      <c r="AC1469" s="6"/>
    </row>
    <row r="1470" spans="2:29" customFormat="1" x14ac:dyDescent="0.25">
      <c r="B1470" s="266"/>
      <c r="X1470" s="154"/>
      <c r="Y1470" s="165"/>
      <c r="Z1470" s="6"/>
      <c r="AA1470" s="6"/>
      <c r="AB1470" s="6"/>
      <c r="AC1470" s="6"/>
    </row>
    <row r="1471" spans="2:29" customFormat="1" x14ac:dyDescent="0.25">
      <c r="B1471" s="266"/>
      <c r="X1471" s="154"/>
      <c r="Y1471" s="165"/>
      <c r="Z1471" s="6"/>
      <c r="AA1471" s="6"/>
      <c r="AB1471" s="6"/>
      <c r="AC1471" s="6"/>
    </row>
    <row r="1472" spans="2:29" customFormat="1" x14ac:dyDescent="0.25">
      <c r="B1472" s="266"/>
      <c r="X1472" s="154"/>
      <c r="Y1472" s="165"/>
      <c r="Z1472" s="6"/>
      <c r="AA1472" s="6"/>
      <c r="AB1472" s="6"/>
      <c r="AC1472" s="6"/>
    </row>
    <row r="1473" spans="2:29" customFormat="1" x14ac:dyDescent="0.25">
      <c r="B1473" s="266"/>
      <c r="X1473" s="154"/>
      <c r="Y1473" s="165"/>
      <c r="Z1473" s="6"/>
      <c r="AA1473" s="6"/>
      <c r="AB1473" s="6"/>
      <c r="AC1473" s="6"/>
    </row>
    <row r="1474" spans="2:29" customFormat="1" x14ac:dyDescent="0.25">
      <c r="B1474" s="266"/>
      <c r="X1474" s="154"/>
      <c r="Y1474" s="165"/>
      <c r="Z1474" s="6"/>
      <c r="AA1474" s="6"/>
      <c r="AB1474" s="6"/>
      <c r="AC1474" s="6"/>
    </row>
    <row r="1475" spans="2:29" customFormat="1" x14ac:dyDescent="0.25">
      <c r="B1475" s="266"/>
      <c r="X1475" s="154"/>
      <c r="Y1475" s="165"/>
      <c r="Z1475" s="6"/>
      <c r="AA1475" s="6"/>
      <c r="AB1475" s="6"/>
      <c r="AC1475" s="6"/>
    </row>
    <row r="1476" spans="2:29" customFormat="1" x14ac:dyDescent="0.25">
      <c r="B1476" s="266"/>
      <c r="X1476" s="154"/>
      <c r="Y1476" s="165"/>
      <c r="Z1476" s="6"/>
      <c r="AA1476" s="6"/>
      <c r="AB1476" s="6"/>
      <c r="AC1476" s="6"/>
    </row>
    <row r="1477" spans="2:29" customFormat="1" x14ac:dyDescent="0.25">
      <c r="B1477" s="266"/>
      <c r="X1477" s="154"/>
      <c r="Y1477" s="165"/>
      <c r="Z1477" s="6"/>
      <c r="AA1477" s="6"/>
      <c r="AB1477" s="6"/>
      <c r="AC1477" s="6"/>
    </row>
    <row r="1478" spans="2:29" customFormat="1" x14ac:dyDescent="0.25">
      <c r="B1478" s="266"/>
      <c r="X1478" s="154"/>
      <c r="Y1478" s="165"/>
      <c r="Z1478" s="6"/>
      <c r="AA1478" s="6"/>
      <c r="AB1478" s="6"/>
      <c r="AC1478" s="6"/>
    </row>
    <row r="1479" spans="2:29" customFormat="1" x14ac:dyDescent="0.25">
      <c r="B1479" s="266"/>
      <c r="X1479" s="154"/>
      <c r="Y1479" s="165"/>
      <c r="Z1479" s="6"/>
      <c r="AA1479" s="6"/>
      <c r="AB1479" s="6"/>
      <c r="AC1479" s="6"/>
    </row>
    <row r="1480" spans="2:29" customFormat="1" x14ac:dyDescent="0.25">
      <c r="B1480" s="266"/>
      <c r="X1480" s="154"/>
      <c r="Y1480" s="165"/>
      <c r="Z1480" s="6"/>
      <c r="AA1480" s="6"/>
      <c r="AB1480" s="6"/>
      <c r="AC1480" s="6"/>
    </row>
    <row r="1481" spans="2:29" customFormat="1" x14ac:dyDescent="0.25">
      <c r="B1481" s="266"/>
      <c r="X1481" s="154"/>
      <c r="Y1481" s="165"/>
      <c r="Z1481" s="6"/>
      <c r="AA1481" s="6"/>
      <c r="AB1481" s="6"/>
      <c r="AC1481" s="6"/>
    </row>
    <row r="1482" spans="2:29" customFormat="1" x14ac:dyDescent="0.25">
      <c r="B1482" s="266"/>
      <c r="X1482" s="154"/>
      <c r="Y1482" s="165"/>
      <c r="Z1482" s="6"/>
      <c r="AA1482" s="6"/>
      <c r="AB1482" s="6"/>
      <c r="AC1482" s="6"/>
    </row>
    <row r="1483" spans="2:29" customFormat="1" x14ac:dyDescent="0.25">
      <c r="B1483" s="266"/>
      <c r="X1483" s="154"/>
      <c r="Y1483" s="165"/>
      <c r="Z1483" s="6"/>
      <c r="AA1483" s="6"/>
      <c r="AB1483" s="6"/>
      <c r="AC1483" s="6"/>
    </row>
    <row r="1484" spans="2:29" customFormat="1" x14ac:dyDescent="0.25">
      <c r="B1484" s="266"/>
      <c r="X1484" s="154"/>
      <c r="Y1484" s="165"/>
      <c r="Z1484" s="6"/>
      <c r="AA1484" s="6"/>
      <c r="AB1484" s="6"/>
      <c r="AC1484" s="6"/>
    </row>
    <row r="1485" spans="2:29" customFormat="1" x14ac:dyDescent="0.25">
      <c r="B1485" s="266"/>
      <c r="X1485" s="154"/>
      <c r="Y1485" s="165"/>
      <c r="Z1485" s="6"/>
      <c r="AA1485" s="6"/>
      <c r="AB1485" s="6"/>
      <c r="AC1485" s="6"/>
    </row>
    <row r="1486" spans="2:29" customFormat="1" x14ac:dyDescent="0.25">
      <c r="B1486" s="266"/>
      <c r="X1486" s="154"/>
      <c r="Y1486" s="165"/>
      <c r="Z1486" s="6"/>
      <c r="AA1486" s="6"/>
      <c r="AB1486" s="6"/>
      <c r="AC1486" s="6"/>
    </row>
    <row r="1487" spans="2:29" customFormat="1" x14ac:dyDescent="0.25">
      <c r="B1487" s="266"/>
      <c r="X1487" s="154"/>
      <c r="Y1487" s="165"/>
      <c r="Z1487" s="6"/>
      <c r="AA1487" s="6"/>
      <c r="AB1487" s="6"/>
      <c r="AC1487" s="6"/>
    </row>
    <row r="1488" spans="2:29" customFormat="1" x14ac:dyDescent="0.25">
      <c r="B1488" s="266"/>
      <c r="X1488" s="154"/>
      <c r="Y1488" s="165"/>
      <c r="Z1488" s="6"/>
      <c r="AA1488" s="6"/>
      <c r="AB1488" s="6"/>
      <c r="AC1488" s="6"/>
    </row>
    <row r="1489" spans="2:29" customFormat="1" x14ac:dyDescent="0.25">
      <c r="B1489" s="266"/>
      <c r="X1489" s="154"/>
      <c r="Y1489" s="165"/>
      <c r="Z1489" s="6"/>
      <c r="AA1489" s="6"/>
      <c r="AB1489" s="6"/>
      <c r="AC1489" s="6"/>
    </row>
    <row r="1490" spans="2:29" customFormat="1" x14ac:dyDescent="0.25">
      <c r="B1490" s="266"/>
      <c r="X1490" s="154"/>
      <c r="Y1490" s="165"/>
      <c r="Z1490" s="6"/>
      <c r="AA1490" s="6"/>
      <c r="AB1490" s="6"/>
      <c r="AC1490" s="6"/>
    </row>
    <row r="1491" spans="2:29" customFormat="1" x14ac:dyDescent="0.25">
      <c r="B1491" s="266"/>
      <c r="X1491" s="154"/>
      <c r="Y1491" s="165"/>
      <c r="Z1491" s="6"/>
      <c r="AA1491" s="6"/>
      <c r="AB1491" s="6"/>
      <c r="AC1491" s="6"/>
    </row>
    <row r="1492" spans="2:29" customFormat="1" x14ac:dyDescent="0.25">
      <c r="B1492" s="266"/>
      <c r="X1492" s="154"/>
      <c r="Y1492" s="165"/>
      <c r="Z1492" s="6"/>
      <c r="AA1492" s="6"/>
      <c r="AB1492" s="6"/>
      <c r="AC1492" s="6"/>
    </row>
    <row r="1493" spans="2:29" customFormat="1" x14ac:dyDescent="0.25">
      <c r="B1493" s="266"/>
      <c r="X1493" s="154"/>
      <c r="Y1493" s="165"/>
      <c r="Z1493" s="6"/>
      <c r="AA1493" s="6"/>
      <c r="AB1493" s="6"/>
      <c r="AC1493" s="6"/>
    </row>
    <row r="1494" spans="2:29" customFormat="1" x14ac:dyDescent="0.25">
      <c r="B1494" s="266"/>
      <c r="X1494" s="154"/>
      <c r="Y1494" s="165"/>
      <c r="Z1494" s="6"/>
      <c r="AA1494" s="6"/>
      <c r="AB1494" s="6"/>
      <c r="AC1494" s="6"/>
    </row>
    <row r="1495" spans="2:29" customFormat="1" x14ac:dyDescent="0.25">
      <c r="B1495" s="266"/>
      <c r="X1495" s="154"/>
      <c r="Y1495" s="165"/>
      <c r="Z1495" s="6"/>
      <c r="AA1495" s="6"/>
      <c r="AB1495" s="6"/>
      <c r="AC1495" s="6"/>
    </row>
    <row r="1496" spans="2:29" customFormat="1" x14ac:dyDescent="0.25">
      <c r="B1496" s="266"/>
      <c r="X1496" s="154"/>
      <c r="Y1496" s="165"/>
      <c r="Z1496" s="6"/>
      <c r="AA1496" s="6"/>
      <c r="AB1496" s="6"/>
      <c r="AC1496" s="6"/>
    </row>
    <row r="1497" spans="2:29" customFormat="1" x14ac:dyDescent="0.25">
      <c r="B1497" s="266"/>
      <c r="X1497" s="154"/>
      <c r="Y1497" s="165"/>
      <c r="Z1497" s="6"/>
      <c r="AA1497" s="6"/>
      <c r="AB1497" s="6"/>
      <c r="AC1497" s="6"/>
    </row>
    <row r="1498" spans="2:29" customFormat="1" x14ac:dyDescent="0.25">
      <c r="B1498" s="266"/>
      <c r="X1498" s="154"/>
      <c r="Y1498" s="165"/>
      <c r="Z1498" s="6"/>
      <c r="AA1498" s="6"/>
      <c r="AB1498" s="6"/>
      <c r="AC1498" s="6"/>
    </row>
    <row r="1499" spans="2:29" customFormat="1" x14ac:dyDescent="0.25">
      <c r="B1499" s="266"/>
      <c r="X1499" s="154"/>
      <c r="Y1499" s="165"/>
      <c r="Z1499" s="6"/>
      <c r="AA1499" s="6"/>
      <c r="AB1499" s="6"/>
      <c r="AC1499" s="6"/>
    </row>
    <row r="1500" spans="2:29" customFormat="1" x14ac:dyDescent="0.25">
      <c r="B1500" s="266"/>
      <c r="X1500" s="154"/>
      <c r="Y1500" s="165"/>
      <c r="Z1500" s="6"/>
      <c r="AA1500" s="6"/>
      <c r="AB1500" s="6"/>
      <c r="AC1500" s="6"/>
    </row>
    <row r="1501" spans="2:29" customFormat="1" x14ac:dyDescent="0.25">
      <c r="B1501" s="266"/>
      <c r="X1501" s="154"/>
      <c r="Y1501" s="165"/>
      <c r="Z1501" s="6"/>
      <c r="AA1501" s="6"/>
      <c r="AB1501" s="6"/>
      <c r="AC1501" s="6"/>
    </row>
    <row r="1502" spans="2:29" customFormat="1" x14ac:dyDescent="0.25">
      <c r="B1502" s="266"/>
      <c r="X1502" s="154"/>
      <c r="Y1502" s="165"/>
      <c r="Z1502" s="6"/>
      <c r="AA1502" s="6"/>
      <c r="AB1502" s="6"/>
      <c r="AC1502" s="6"/>
    </row>
    <row r="1503" spans="2:29" customFormat="1" x14ac:dyDescent="0.25">
      <c r="B1503" s="266"/>
      <c r="X1503" s="154"/>
      <c r="Y1503" s="165"/>
      <c r="Z1503" s="6"/>
      <c r="AA1503" s="6"/>
      <c r="AB1503" s="6"/>
      <c r="AC1503" s="6"/>
    </row>
    <row r="1504" spans="2:29" customFormat="1" x14ac:dyDescent="0.25">
      <c r="B1504" s="266"/>
      <c r="X1504" s="154"/>
      <c r="Y1504" s="165"/>
      <c r="Z1504" s="6"/>
      <c r="AA1504" s="6"/>
      <c r="AB1504" s="6"/>
      <c r="AC1504" s="6"/>
    </row>
    <row r="1505" spans="2:29" customFormat="1" x14ac:dyDescent="0.25">
      <c r="B1505" s="266"/>
      <c r="X1505" s="154"/>
      <c r="Y1505" s="165"/>
      <c r="Z1505" s="6"/>
      <c r="AA1505" s="6"/>
      <c r="AB1505" s="6"/>
      <c r="AC1505" s="6"/>
    </row>
    <row r="1506" spans="2:29" customFormat="1" x14ac:dyDescent="0.25">
      <c r="B1506" s="266"/>
      <c r="X1506" s="154"/>
      <c r="Y1506" s="165"/>
      <c r="Z1506" s="6"/>
      <c r="AA1506" s="6"/>
      <c r="AB1506" s="6"/>
      <c r="AC1506" s="6"/>
    </row>
    <row r="1507" spans="2:29" customFormat="1" x14ac:dyDescent="0.25">
      <c r="B1507" s="266"/>
      <c r="X1507" s="154"/>
      <c r="Y1507" s="165"/>
      <c r="Z1507" s="6"/>
      <c r="AA1507" s="6"/>
      <c r="AB1507" s="6"/>
      <c r="AC1507" s="6"/>
    </row>
    <row r="1508" spans="2:29" customFormat="1" x14ac:dyDescent="0.25">
      <c r="B1508" s="266"/>
      <c r="X1508" s="154"/>
      <c r="Y1508" s="165"/>
      <c r="Z1508" s="6"/>
      <c r="AA1508" s="6"/>
      <c r="AB1508" s="6"/>
      <c r="AC1508" s="6"/>
    </row>
    <row r="1509" spans="2:29" customFormat="1" x14ac:dyDescent="0.25">
      <c r="B1509" s="266"/>
      <c r="X1509" s="154"/>
      <c r="Y1509" s="165"/>
      <c r="Z1509" s="6"/>
      <c r="AA1509" s="6"/>
      <c r="AB1509" s="6"/>
      <c r="AC1509" s="6"/>
    </row>
    <row r="1510" spans="2:29" customFormat="1" x14ac:dyDescent="0.25">
      <c r="B1510" s="266"/>
      <c r="X1510" s="154"/>
      <c r="Y1510" s="165"/>
      <c r="Z1510" s="6"/>
      <c r="AA1510" s="6"/>
      <c r="AB1510" s="6"/>
      <c r="AC1510" s="6"/>
    </row>
    <row r="1511" spans="2:29" customFormat="1" x14ac:dyDescent="0.25">
      <c r="B1511" s="266"/>
      <c r="X1511" s="154"/>
      <c r="Y1511" s="165"/>
      <c r="Z1511" s="6"/>
      <c r="AA1511" s="6"/>
      <c r="AB1511" s="6"/>
      <c r="AC1511" s="6"/>
    </row>
    <row r="1512" spans="2:29" customFormat="1" x14ac:dyDescent="0.25">
      <c r="B1512" s="266"/>
      <c r="X1512" s="154"/>
      <c r="Y1512" s="165"/>
      <c r="Z1512" s="6"/>
      <c r="AA1512" s="6"/>
      <c r="AB1512" s="6"/>
      <c r="AC1512" s="6"/>
    </row>
    <row r="1513" spans="2:29" customFormat="1" x14ac:dyDescent="0.25">
      <c r="B1513" s="266"/>
      <c r="X1513" s="154"/>
      <c r="Y1513" s="165"/>
      <c r="Z1513" s="6"/>
      <c r="AA1513" s="6"/>
      <c r="AB1513" s="6"/>
      <c r="AC1513" s="6"/>
    </row>
    <row r="1514" spans="2:29" customFormat="1" x14ac:dyDescent="0.25">
      <c r="B1514" s="266"/>
      <c r="X1514" s="154"/>
      <c r="Y1514" s="165"/>
      <c r="Z1514" s="6"/>
      <c r="AA1514" s="6"/>
      <c r="AB1514" s="6"/>
      <c r="AC1514" s="6"/>
    </row>
    <row r="1515" spans="2:29" customFormat="1" x14ac:dyDescent="0.25">
      <c r="B1515" s="266"/>
      <c r="X1515" s="154"/>
      <c r="Y1515" s="165"/>
      <c r="Z1515" s="6"/>
      <c r="AA1515" s="6"/>
      <c r="AB1515" s="6"/>
      <c r="AC1515" s="6"/>
    </row>
    <row r="1516" spans="2:29" customFormat="1" x14ac:dyDescent="0.25">
      <c r="B1516" s="266"/>
      <c r="X1516" s="154"/>
      <c r="Y1516" s="165"/>
      <c r="Z1516" s="6"/>
      <c r="AA1516" s="6"/>
      <c r="AB1516" s="6"/>
      <c r="AC1516" s="6"/>
    </row>
    <row r="1517" spans="2:29" customFormat="1" x14ac:dyDescent="0.25">
      <c r="B1517" s="266"/>
      <c r="X1517" s="154"/>
      <c r="Y1517" s="165"/>
      <c r="Z1517" s="6"/>
      <c r="AA1517" s="6"/>
      <c r="AB1517" s="6"/>
      <c r="AC1517" s="6"/>
    </row>
    <row r="1518" spans="2:29" customFormat="1" x14ac:dyDescent="0.25">
      <c r="B1518" s="266"/>
      <c r="X1518" s="154"/>
      <c r="Y1518" s="165"/>
      <c r="Z1518" s="6"/>
      <c r="AA1518" s="6"/>
      <c r="AB1518" s="6"/>
      <c r="AC1518" s="6"/>
    </row>
    <row r="1519" spans="2:29" customFormat="1" x14ac:dyDescent="0.25">
      <c r="B1519" s="266"/>
      <c r="X1519" s="154"/>
      <c r="Y1519" s="165"/>
      <c r="Z1519" s="6"/>
      <c r="AA1519" s="6"/>
      <c r="AB1519" s="6"/>
      <c r="AC1519" s="6"/>
    </row>
    <row r="1520" spans="2:29" customFormat="1" x14ac:dyDescent="0.25">
      <c r="B1520" s="266"/>
      <c r="X1520" s="154"/>
      <c r="Y1520" s="165"/>
      <c r="Z1520" s="6"/>
      <c r="AA1520" s="6"/>
      <c r="AB1520" s="6"/>
      <c r="AC1520" s="6"/>
    </row>
    <row r="1521" spans="2:29" customFormat="1" x14ac:dyDescent="0.25">
      <c r="B1521" s="266"/>
      <c r="X1521" s="154"/>
      <c r="Y1521" s="165"/>
      <c r="Z1521" s="6"/>
      <c r="AA1521" s="6"/>
      <c r="AB1521" s="6"/>
      <c r="AC1521" s="6"/>
    </row>
    <row r="1522" spans="2:29" customFormat="1" x14ac:dyDescent="0.25">
      <c r="B1522" s="266"/>
      <c r="X1522" s="154"/>
      <c r="Y1522" s="165"/>
      <c r="Z1522" s="6"/>
      <c r="AA1522" s="6"/>
      <c r="AB1522" s="6"/>
      <c r="AC1522" s="6"/>
    </row>
    <row r="1523" spans="2:29" customFormat="1" x14ac:dyDescent="0.25">
      <c r="B1523" s="266"/>
      <c r="X1523" s="154"/>
      <c r="Y1523" s="165"/>
      <c r="Z1523" s="6"/>
      <c r="AA1523" s="6"/>
      <c r="AB1523" s="6"/>
      <c r="AC1523" s="6"/>
    </row>
    <row r="1524" spans="2:29" customFormat="1" x14ac:dyDescent="0.25">
      <c r="B1524" s="266"/>
      <c r="X1524" s="154"/>
      <c r="Y1524" s="165"/>
      <c r="Z1524" s="6"/>
      <c r="AA1524" s="6"/>
      <c r="AB1524" s="6"/>
      <c r="AC1524" s="6"/>
    </row>
    <row r="1525" spans="2:29" customFormat="1" x14ac:dyDescent="0.25">
      <c r="B1525" s="266"/>
      <c r="X1525" s="154"/>
      <c r="Y1525" s="165"/>
      <c r="Z1525" s="6"/>
      <c r="AA1525" s="6"/>
      <c r="AB1525" s="6"/>
      <c r="AC1525" s="6"/>
    </row>
    <row r="1526" spans="2:29" customFormat="1" x14ac:dyDescent="0.25">
      <c r="B1526" s="266"/>
      <c r="X1526" s="154"/>
      <c r="Y1526" s="165"/>
      <c r="Z1526" s="6"/>
      <c r="AA1526" s="6"/>
      <c r="AB1526" s="6"/>
      <c r="AC1526" s="6"/>
    </row>
    <row r="1527" spans="2:29" customFormat="1" x14ac:dyDescent="0.25">
      <c r="B1527" s="266"/>
      <c r="X1527" s="154"/>
      <c r="Y1527" s="165"/>
      <c r="Z1527" s="6"/>
      <c r="AA1527" s="6"/>
      <c r="AB1527" s="6"/>
      <c r="AC1527" s="6"/>
    </row>
    <row r="1528" spans="2:29" customFormat="1" x14ac:dyDescent="0.25">
      <c r="B1528" s="266"/>
      <c r="X1528" s="154"/>
      <c r="Y1528" s="165"/>
      <c r="Z1528" s="6"/>
      <c r="AA1528" s="6"/>
      <c r="AB1528" s="6"/>
      <c r="AC1528" s="6"/>
    </row>
    <row r="1529" spans="2:29" customFormat="1" x14ac:dyDescent="0.25">
      <c r="B1529" s="266"/>
      <c r="X1529" s="154"/>
      <c r="Y1529" s="165"/>
      <c r="Z1529" s="6"/>
      <c r="AA1529" s="6"/>
      <c r="AB1529" s="6"/>
      <c r="AC1529" s="6"/>
    </row>
    <row r="1530" spans="2:29" customFormat="1" x14ac:dyDescent="0.25">
      <c r="B1530" s="266"/>
      <c r="X1530" s="154"/>
      <c r="Y1530" s="165"/>
      <c r="Z1530" s="6"/>
      <c r="AA1530" s="6"/>
      <c r="AB1530" s="6"/>
      <c r="AC1530" s="6"/>
    </row>
    <row r="1531" spans="2:29" customFormat="1" x14ac:dyDescent="0.25">
      <c r="B1531" s="266"/>
      <c r="X1531" s="154"/>
      <c r="Y1531" s="165"/>
      <c r="Z1531" s="6"/>
      <c r="AA1531" s="6"/>
      <c r="AB1531" s="6"/>
      <c r="AC1531" s="6"/>
    </row>
    <row r="1532" spans="2:29" customFormat="1" x14ac:dyDescent="0.25">
      <c r="B1532" s="266"/>
      <c r="X1532" s="154"/>
      <c r="Y1532" s="165"/>
      <c r="Z1532" s="6"/>
      <c r="AA1532" s="6"/>
      <c r="AB1532" s="6"/>
      <c r="AC1532" s="6"/>
    </row>
    <row r="1533" spans="2:29" customFormat="1" x14ac:dyDescent="0.25">
      <c r="B1533" s="266"/>
      <c r="X1533" s="154"/>
      <c r="Y1533" s="165"/>
      <c r="Z1533" s="6"/>
      <c r="AA1533" s="6"/>
      <c r="AB1533" s="6"/>
      <c r="AC1533" s="6"/>
    </row>
    <row r="1534" spans="2:29" customFormat="1" x14ac:dyDescent="0.25">
      <c r="B1534" s="266"/>
      <c r="X1534" s="154"/>
      <c r="Y1534" s="165"/>
      <c r="Z1534" s="6"/>
      <c r="AA1534" s="6"/>
      <c r="AB1534" s="6"/>
      <c r="AC1534" s="6"/>
    </row>
    <row r="1535" spans="2:29" customFormat="1" x14ac:dyDescent="0.25">
      <c r="B1535" s="266"/>
      <c r="X1535" s="154"/>
      <c r="Y1535" s="165"/>
      <c r="Z1535" s="6"/>
      <c r="AA1535" s="6"/>
      <c r="AB1535" s="6"/>
      <c r="AC1535" s="6"/>
    </row>
    <row r="1536" spans="2:29" customFormat="1" x14ac:dyDescent="0.25">
      <c r="B1536" s="266"/>
      <c r="X1536" s="154"/>
      <c r="Y1536" s="165"/>
      <c r="Z1536" s="6"/>
      <c r="AA1536" s="6"/>
      <c r="AB1536" s="6"/>
      <c r="AC1536" s="6"/>
    </row>
    <row r="1537" spans="2:29" customFormat="1" x14ac:dyDescent="0.25">
      <c r="B1537" s="266"/>
      <c r="X1537" s="154"/>
      <c r="Y1537" s="165"/>
      <c r="Z1537" s="6"/>
      <c r="AA1537" s="6"/>
      <c r="AB1537" s="6"/>
      <c r="AC1537" s="6"/>
    </row>
    <row r="1538" spans="2:29" customFormat="1" x14ac:dyDescent="0.25">
      <c r="B1538" s="266"/>
      <c r="X1538" s="154"/>
      <c r="Y1538" s="165"/>
      <c r="Z1538" s="6"/>
      <c r="AA1538" s="6"/>
      <c r="AB1538" s="6"/>
      <c r="AC1538" s="6"/>
    </row>
    <row r="1539" spans="2:29" customFormat="1" x14ac:dyDescent="0.25">
      <c r="B1539" s="266"/>
      <c r="X1539" s="154"/>
      <c r="Y1539" s="165"/>
      <c r="Z1539" s="6"/>
      <c r="AA1539" s="6"/>
      <c r="AB1539" s="6"/>
      <c r="AC1539" s="6"/>
    </row>
    <row r="1540" spans="2:29" customFormat="1" x14ac:dyDescent="0.25">
      <c r="B1540" s="266"/>
      <c r="X1540" s="154"/>
      <c r="Y1540" s="165"/>
      <c r="Z1540" s="6"/>
      <c r="AA1540" s="6"/>
      <c r="AB1540" s="6"/>
      <c r="AC1540" s="6"/>
    </row>
    <row r="1541" spans="2:29" customFormat="1" x14ac:dyDescent="0.25">
      <c r="B1541" s="266"/>
      <c r="X1541" s="154"/>
      <c r="Y1541" s="165"/>
      <c r="Z1541" s="6"/>
      <c r="AA1541" s="6"/>
      <c r="AB1541" s="6"/>
      <c r="AC1541" s="6"/>
    </row>
    <row r="1542" spans="2:29" customFormat="1" x14ac:dyDescent="0.25">
      <c r="B1542" s="266"/>
      <c r="X1542" s="154"/>
      <c r="Y1542" s="165"/>
      <c r="Z1542" s="6"/>
      <c r="AA1542" s="6"/>
      <c r="AB1542" s="6"/>
      <c r="AC1542" s="6"/>
    </row>
    <row r="1543" spans="2:29" customFormat="1" x14ac:dyDescent="0.25">
      <c r="B1543" s="266"/>
      <c r="X1543" s="154"/>
      <c r="Y1543" s="165"/>
      <c r="Z1543" s="6"/>
      <c r="AA1543" s="6"/>
      <c r="AB1543" s="6"/>
      <c r="AC1543" s="6"/>
    </row>
    <row r="1544" spans="2:29" customFormat="1" x14ac:dyDescent="0.25">
      <c r="B1544" s="266"/>
      <c r="X1544" s="154"/>
      <c r="Y1544" s="165"/>
      <c r="Z1544" s="6"/>
      <c r="AA1544" s="6"/>
      <c r="AB1544" s="6"/>
      <c r="AC1544" s="6"/>
    </row>
    <row r="1545" spans="2:29" customFormat="1" x14ac:dyDescent="0.25">
      <c r="B1545" s="266"/>
      <c r="X1545" s="154"/>
      <c r="Y1545" s="165"/>
      <c r="Z1545" s="6"/>
      <c r="AA1545" s="6"/>
      <c r="AB1545" s="6"/>
      <c r="AC1545" s="6"/>
    </row>
    <row r="1546" spans="2:29" customFormat="1" x14ac:dyDescent="0.25">
      <c r="B1546" s="266"/>
      <c r="X1546" s="154"/>
      <c r="Y1546" s="165"/>
      <c r="Z1546" s="6"/>
      <c r="AA1546" s="6"/>
      <c r="AB1546" s="6"/>
      <c r="AC1546" s="6"/>
    </row>
    <row r="1547" spans="2:29" customFormat="1" x14ac:dyDescent="0.25">
      <c r="B1547" s="266"/>
      <c r="X1547" s="154"/>
      <c r="Y1547" s="165"/>
      <c r="Z1547" s="6"/>
      <c r="AA1547" s="6"/>
      <c r="AB1547" s="6"/>
      <c r="AC1547" s="6"/>
    </row>
    <row r="1548" spans="2:29" customFormat="1" x14ac:dyDescent="0.25">
      <c r="B1548" s="266"/>
      <c r="X1548" s="154"/>
      <c r="Y1548" s="165"/>
      <c r="Z1548" s="6"/>
      <c r="AA1548" s="6"/>
      <c r="AB1548" s="6"/>
      <c r="AC1548" s="6"/>
    </row>
    <row r="1549" spans="2:29" customFormat="1" x14ac:dyDescent="0.25">
      <c r="B1549" s="266"/>
      <c r="X1549" s="154"/>
      <c r="Y1549" s="165"/>
      <c r="Z1549" s="6"/>
      <c r="AA1549" s="6"/>
      <c r="AB1549" s="6"/>
      <c r="AC1549" s="6"/>
    </row>
    <row r="1550" spans="2:29" customFormat="1" x14ac:dyDescent="0.25">
      <c r="B1550" s="266"/>
      <c r="X1550" s="154"/>
      <c r="Y1550" s="165"/>
      <c r="Z1550" s="6"/>
      <c r="AA1550" s="6"/>
      <c r="AB1550" s="6"/>
      <c r="AC1550" s="6"/>
    </row>
    <row r="1551" spans="2:29" customFormat="1" x14ac:dyDescent="0.25">
      <c r="B1551" s="266"/>
      <c r="X1551" s="154"/>
      <c r="Y1551" s="165"/>
      <c r="Z1551" s="6"/>
      <c r="AA1551" s="6"/>
      <c r="AB1551" s="6"/>
      <c r="AC1551" s="6"/>
    </row>
    <row r="1552" spans="2:29" customFormat="1" x14ac:dyDescent="0.25">
      <c r="B1552" s="266"/>
      <c r="X1552" s="154"/>
      <c r="Y1552" s="165"/>
      <c r="Z1552" s="6"/>
      <c r="AA1552" s="6"/>
      <c r="AB1552" s="6"/>
      <c r="AC1552" s="6"/>
    </row>
    <row r="1553" spans="2:29" customFormat="1" x14ac:dyDescent="0.25">
      <c r="B1553" s="266"/>
      <c r="X1553" s="154"/>
      <c r="Y1553" s="165"/>
      <c r="Z1553" s="6"/>
      <c r="AA1553" s="6"/>
      <c r="AB1553" s="6"/>
      <c r="AC1553" s="6"/>
    </row>
    <row r="1554" spans="2:29" customFormat="1" x14ac:dyDescent="0.25">
      <c r="B1554" s="266"/>
      <c r="X1554" s="154"/>
      <c r="Y1554" s="165"/>
      <c r="Z1554" s="6"/>
      <c r="AA1554" s="6"/>
      <c r="AB1554" s="6"/>
      <c r="AC1554" s="6"/>
    </row>
    <row r="1555" spans="2:29" customFormat="1" x14ac:dyDescent="0.25">
      <c r="B1555" s="266"/>
      <c r="X1555" s="154"/>
      <c r="Y1555" s="165"/>
      <c r="Z1555" s="6"/>
      <c r="AA1555" s="6"/>
      <c r="AB1555" s="6"/>
      <c r="AC1555" s="6"/>
    </row>
    <row r="1556" spans="2:29" customFormat="1" x14ac:dyDescent="0.25">
      <c r="B1556" s="266"/>
      <c r="X1556" s="154"/>
      <c r="Y1556" s="165"/>
      <c r="Z1556" s="6"/>
      <c r="AA1556" s="6"/>
      <c r="AB1556" s="6"/>
      <c r="AC1556" s="6"/>
    </row>
    <row r="1557" spans="2:29" customFormat="1" x14ac:dyDescent="0.25">
      <c r="B1557" s="266"/>
      <c r="X1557" s="154"/>
      <c r="Y1557" s="165"/>
      <c r="Z1557" s="6"/>
      <c r="AA1557" s="6"/>
      <c r="AB1557" s="6"/>
      <c r="AC1557" s="6"/>
    </row>
    <row r="1558" spans="2:29" customFormat="1" x14ac:dyDescent="0.25">
      <c r="B1558" s="266"/>
      <c r="X1558" s="154"/>
      <c r="Y1558" s="165"/>
      <c r="Z1558" s="6"/>
      <c r="AA1558" s="6"/>
      <c r="AB1558" s="6"/>
      <c r="AC1558" s="6"/>
    </row>
    <row r="1559" spans="2:29" customFormat="1" x14ac:dyDescent="0.25">
      <c r="B1559" s="266"/>
      <c r="X1559" s="154"/>
      <c r="Y1559" s="165"/>
      <c r="Z1559" s="6"/>
      <c r="AA1559" s="6"/>
      <c r="AB1559" s="6"/>
      <c r="AC1559" s="6"/>
    </row>
    <row r="1560" spans="2:29" customFormat="1" x14ac:dyDescent="0.25">
      <c r="B1560" s="266"/>
      <c r="X1560" s="154"/>
      <c r="Y1560" s="165"/>
      <c r="Z1560" s="6"/>
      <c r="AA1560" s="6"/>
      <c r="AB1560" s="6"/>
      <c r="AC1560" s="6"/>
    </row>
    <row r="1561" spans="2:29" customFormat="1" x14ac:dyDescent="0.25">
      <c r="B1561" s="266"/>
      <c r="X1561" s="154"/>
      <c r="Y1561" s="165"/>
      <c r="Z1561" s="6"/>
      <c r="AA1561" s="6"/>
      <c r="AB1561" s="6"/>
      <c r="AC1561" s="6"/>
    </row>
    <row r="1562" spans="2:29" customFormat="1" x14ac:dyDescent="0.25">
      <c r="B1562" s="266"/>
      <c r="X1562" s="154"/>
      <c r="Y1562" s="165"/>
      <c r="Z1562" s="6"/>
      <c r="AA1562" s="6"/>
      <c r="AB1562" s="6"/>
      <c r="AC1562" s="6"/>
    </row>
    <row r="1563" spans="2:29" customFormat="1" x14ac:dyDescent="0.25">
      <c r="B1563" s="266"/>
      <c r="X1563" s="154"/>
      <c r="Y1563" s="165"/>
      <c r="Z1563" s="6"/>
      <c r="AA1563" s="6"/>
      <c r="AB1563" s="6"/>
      <c r="AC1563" s="6"/>
    </row>
    <row r="1564" spans="2:29" customFormat="1" x14ac:dyDescent="0.25">
      <c r="B1564" s="266"/>
      <c r="X1564" s="154"/>
      <c r="Y1564" s="165"/>
      <c r="Z1564" s="6"/>
      <c r="AA1564" s="6"/>
      <c r="AB1564" s="6"/>
      <c r="AC1564" s="6"/>
    </row>
    <row r="1565" spans="2:29" customFormat="1" x14ac:dyDescent="0.25">
      <c r="B1565" s="266"/>
      <c r="X1565" s="154"/>
      <c r="Y1565" s="165"/>
      <c r="Z1565" s="6"/>
      <c r="AA1565" s="6"/>
      <c r="AB1565" s="6"/>
      <c r="AC1565" s="6"/>
    </row>
    <row r="1566" spans="2:29" customFormat="1" x14ac:dyDescent="0.25">
      <c r="B1566" s="266"/>
      <c r="X1566" s="154"/>
      <c r="Y1566" s="165"/>
      <c r="Z1566" s="6"/>
      <c r="AA1566" s="6"/>
      <c r="AB1566" s="6"/>
      <c r="AC1566" s="6"/>
    </row>
    <row r="1567" spans="2:29" customFormat="1" x14ac:dyDescent="0.25">
      <c r="B1567" s="266"/>
      <c r="X1567" s="154"/>
      <c r="Y1567" s="165"/>
      <c r="Z1567" s="6"/>
      <c r="AA1567" s="6"/>
      <c r="AB1567" s="6"/>
      <c r="AC1567" s="6"/>
    </row>
    <row r="1568" spans="2:29" customFormat="1" x14ac:dyDescent="0.25">
      <c r="B1568" s="266"/>
      <c r="X1568" s="154"/>
      <c r="Y1568" s="165"/>
      <c r="Z1568" s="6"/>
      <c r="AA1568" s="6"/>
      <c r="AB1568" s="6"/>
      <c r="AC1568" s="6"/>
    </row>
    <row r="1569" spans="2:29" customFormat="1" x14ac:dyDescent="0.25">
      <c r="B1569" s="266"/>
      <c r="X1569" s="154"/>
      <c r="Y1569" s="165"/>
      <c r="Z1569" s="6"/>
      <c r="AA1569" s="6"/>
      <c r="AB1569" s="6"/>
      <c r="AC1569" s="6"/>
    </row>
    <row r="1570" spans="2:29" customFormat="1" x14ac:dyDescent="0.25">
      <c r="B1570" s="266"/>
      <c r="X1570" s="154"/>
      <c r="Y1570" s="165"/>
      <c r="Z1570" s="6"/>
      <c r="AA1570" s="6"/>
      <c r="AB1570" s="6"/>
      <c r="AC1570" s="6"/>
    </row>
    <row r="1571" spans="2:29" customFormat="1" x14ac:dyDescent="0.25">
      <c r="B1571" s="266"/>
      <c r="X1571" s="154"/>
      <c r="Y1571" s="165"/>
      <c r="Z1571" s="6"/>
      <c r="AA1571" s="6"/>
      <c r="AB1571" s="6"/>
      <c r="AC1571" s="6"/>
    </row>
    <row r="1572" spans="2:29" customFormat="1" x14ac:dyDescent="0.25">
      <c r="B1572" s="266"/>
      <c r="X1572" s="154"/>
      <c r="Y1572" s="165"/>
      <c r="Z1572" s="6"/>
      <c r="AA1572" s="6"/>
      <c r="AB1572" s="6"/>
      <c r="AC1572" s="6"/>
    </row>
    <row r="1573" spans="2:29" customFormat="1" x14ac:dyDescent="0.25">
      <c r="B1573" s="266"/>
      <c r="X1573" s="154"/>
      <c r="Y1573" s="165"/>
      <c r="Z1573" s="6"/>
      <c r="AA1573" s="6"/>
      <c r="AB1573" s="6"/>
      <c r="AC1573" s="6"/>
    </row>
    <row r="1574" spans="2:29" customFormat="1" x14ac:dyDescent="0.25">
      <c r="B1574" s="266"/>
      <c r="X1574" s="154"/>
      <c r="Y1574" s="165"/>
      <c r="Z1574" s="6"/>
      <c r="AA1574" s="6"/>
      <c r="AB1574" s="6"/>
      <c r="AC1574" s="6"/>
    </row>
    <row r="1575" spans="2:29" customFormat="1" x14ac:dyDescent="0.25">
      <c r="B1575" s="266"/>
      <c r="X1575" s="154"/>
      <c r="Y1575" s="165"/>
      <c r="Z1575" s="6"/>
      <c r="AA1575" s="6"/>
      <c r="AB1575" s="6"/>
      <c r="AC1575" s="6"/>
    </row>
    <row r="1576" spans="2:29" customFormat="1" x14ac:dyDescent="0.25">
      <c r="B1576" s="266"/>
      <c r="X1576" s="154"/>
      <c r="Y1576" s="165"/>
      <c r="Z1576" s="6"/>
      <c r="AA1576" s="6"/>
      <c r="AB1576" s="6"/>
      <c r="AC1576" s="6"/>
    </row>
    <row r="1577" spans="2:29" customFormat="1" x14ac:dyDescent="0.25">
      <c r="B1577" s="266"/>
      <c r="X1577" s="154"/>
      <c r="Y1577" s="165"/>
      <c r="Z1577" s="6"/>
      <c r="AA1577" s="6"/>
      <c r="AB1577" s="6"/>
      <c r="AC1577" s="6"/>
    </row>
    <row r="1578" spans="2:29" customFormat="1" x14ac:dyDescent="0.25">
      <c r="B1578" s="266"/>
      <c r="X1578" s="154"/>
      <c r="Y1578" s="165"/>
      <c r="Z1578" s="6"/>
      <c r="AA1578" s="6"/>
      <c r="AB1578" s="6"/>
      <c r="AC1578" s="6"/>
    </row>
    <row r="1579" spans="2:29" customFormat="1" x14ac:dyDescent="0.25">
      <c r="B1579" s="266"/>
      <c r="X1579" s="154"/>
      <c r="Y1579" s="165"/>
      <c r="Z1579" s="6"/>
      <c r="AA1579" s="6"/>
      <c r="AB1579" s="6"/>
      <c r="AC1579" s="6"/>
    </row>
    <row r="1580" spans="2:29" customFormat="1" x14ac:dyDescent="0.25">
      <c r="B1580" s="266"/>
      <c r="X1580" s="154"/>
      <c r="Y1580" s="165"/>
      <c r="Z1580" s="6"/>
      <c r="AA1580" s="6"/>
      <c r="AB1580" s="6"/>
      <c r="AC1580" s="6"/>
    </row>
    <row r="1581" spans="2:29" customFormat="1" x14ac:dyDescent="0.25">
      <c r="B1581" s="266"/>
      <c r="X1581" s="154"/>
      <c r="Y1581" s="165"/>
      <c r="Z1581" s="6"/>
      <c r="AA1581" s="6"/>
      <c r="AB1581" s="6"/>
      <c r="AC1581" s="6"/>
    </row>
    <row r="1582" spans="2:29" customFormat="1" x14ac:dyDescent="0.25">
      <c r="B1582" s="266"/>
      <c r="X1582" s="154"/>
      <c r="Y1582" s="165"/>
      <c r="Z1582" s="6"/>
      <c r="AA1582" s="6"/>
      <c r="AB1582" s="6"/>
      <c r="AC1582" s="6"/>
    </row>
    <row r="1583" spans="2:29" customFormat="1" x14ac:dyDescent="0.25">
      <c r="B1583" s="266"/>
      <c r="X1583" s="154"/>
      <c r="Y1583" s="165"/>
      <c r="Z1583" s="6"/>
      <c r="AA1583" s="6"/>
      <c r="AB1583" s="6"/>
      <c r="AC1583" s="6"/>
    </row>
    <row r="1584" spans="2:29" customFormat="1" x14ac:dyDescent="0.25">
      <c r="B1584" s="266"/>
      <c r="X1584" s="154"/>
      <c r="Y1584" s="165"/>
      <c r="Z1584" s="6"/>
      <c r="AA1584" s="6"/>
      <c r="AB1584" s="6"/>
      <c r="AC1584" s="6"/>
    </row>
    <row r="1585" spans="2:29" customFormat="1" x14ac:dyDescent="0.25">
      <c r="B1585" s="266"/>
      <c r="X1585" s="154"/>
      <c r="Y1585" s="165"/>
      <c r="Z1585" s="6"/>
      <c r="AA1585" s="6"/>
      <c r="AB1585" s="6"/>
      <c r="AC1585" s="6"/>
    </row>
    <row r="1586" spans="2:29" customFormat="1" x14ac:dyDescent="0.25">
      <c r="B1586" s="266"/>
      <c r="X1586" s="154"/>
      <c r="Y1586" s="165"/>
      <c r="Z1586" s="6"/>
      <c r="AA1586" s="6"/>
      <c r="AB1586" s="6"/>
      <c r="AC1586" s="6"/>
    </row>
    <row r="1587" spans="2:29" customFormat="1" x14ac:dyDescent="0.25">
      <c r="B1587" s="266"/>
      <c r="X1587" s="154"/>
      <c r="Y1587" s="165"/>
      <c r="Z1587" s="6"/>
      <c r="AA1587" s="6"/>
      <c r="AB1587" s="6"/>
      <c r="AC1587" s="6"/>
    </row>
    <row r="1588" spans="2:29" customFormat="1" x14ac:dyDescent="0.25">
      <c r="B1588" s="266"/>
      <c r="X1588" s="154"/>
      <c r="Y1588" s="165"/>
      <c r="Z1588" s="6"/>
      <c r="AA1588" s="6"/>
      <c r="AB1588" s="6"/>
      <c r="AC1588" s="6"/>
    </row>
    <row r="1589" spans="2:29" customFormat="1" x14ac:dyDescent="0.25">
      <c r="B1589" s="266"/>
      <c r="X1589" s="154"/>
      <c r="Y1589" s="165"/>
      <c r="Z1589" s="6"/>
      <c r="AA1589" s="6"/>
      <c r="AB1589" s="6"/>
      <c r="AC1589" s="6"/>
    </row>
    <row r="1590" spans="2:29" customFormat="1" x14ac:dyDescent="0.25">
      <c r="B1590" s="266"/>
      <c r="X1590" s="154"/>
      <c r="Y1590" s="165"/>
      <c r="Z1590" s="6"/>
      <c r="AA1590" s="6"/>
      <c r="AB1590" s="6"/>
      <c r="AC1590" s="6"/>
    </row>
    <row r="1591" spans="2:29" customFormat="1" x14ac:dyDescent="0.25">
      <c r="B1591" s="266"/>
      <c r="X1591" s="154"/>
      <c r="Y1591" s="165"/>
      <c r="Z1591" s="6"/>
      <c r="AA1591" s="6"/>
      <c r="AB1591" s="6"/>
      <c r="AC1591" s="6"/>
    </row>
    <row r="1592" spans="2:29" customFormat="1" x14ac:dyDescent="0.25">
      <c r="B1592" s="266"/>
      <c r="X1592" s="154"/>
      <c r="Y1592" s="165"/>
      <c r="Z1592" s="6"/>
      <c r="AA1592" s="6"/>
      <c r="AB1592" s="6"/>
      <c r="AC1592" s="6"/>
    </row>
    <row r="1593" spans="2:29" customFormat="1" x14ac:dyDescent="0.25">
      <c r="B1593" s="266"/>
      <c r="X1593" s="154"/>
      <c r="Y1593" s="165"/>
      <c r="Z1593" s="6"/>
      <c r="AA1593" s="6"/>
      <c r="AB1593" s="6"/>
      <c r="AC1593" s="6"/>
    </row>
    <row r="1594" spans="2:29" customFormat="1" x14ac:dyDescent="0.25">
      <c r="B1594" s="266"/>
      <c r="X1594" s="154"/>
      <c r="Y1594" s="165"/>
      <c r="Z1594" s="6"/>
      <c r="AA1594" s="6"/>
      <c r="AB1594" s="6"/>
      <c r="AC1594" s="6"/>
    </row>
    <row r="1595" spans="2:29" customFormat="1" x14ac:dyDescent="0.25">
      <c r="B1595" s="266"/>
      <c r="X1595" s="154"/>
      <c r="Y1595" s="165"/>
      <c r="Z1595" s="6"/>
      <c r="AA1595" s="6"/>
      <c r="AB1595" s="6"/>
      <c r="AC1595" s="6"/>
    </row>
    <row r="1596" spans="2:29" customFormat="1" x14ac:dyDescent="0.25">
      <c r="B1596" s="266"/>
      <c r="X1596" s="154"/>
      <c r="Y1596" s="165"/>
      <c r="Z1596" s="6"/>
      <c r="AA1596" s="6"/>
      <c r="AB1596" s="6"/>
      <c r="AC1596" s="6"/>
    </row>
    <row r="1597" spans="2:29" customFormat="1" x14ac:dyDescent="0.25">
      <c r="B1597" s="266"/>
      <c r="X1597" s="154"/>
      <c r="Y1597" s="165"/>
      <c r="Z1597" s="6"/>
      <c r="AA1597" s="6"/>
      <c r="AB1597" s="6"/>
      <c r="AC1597" s="6"/>
    </row>
    <row r="1598" spans="2:29" customFormat="1" x14ac:dyDescent="0.25">
      <c r="B1598" s="266"/>
      <c r="X1598" s="154"/>
      <c r="Y1598" s="165"/>
      <c r="Z1598" s="6"/>
      <c r="AA1598" s="6"/>
      <c r="AB1598" s="6"/>
      <c r="AC1598" s="6"/>
    </row>
    <row r="1599" spans="2:29" customFormat="1" x14ac:dyDescent="0.25">
      <c r="B1599" s="266"/>
      <c r="X1599" s="154"/>
      <c r="Y1599" s="165"/>
      <c r="Z1599" s="6"/>
      <c r="AA1599" s="6"/>
      <c r="AB1599" s="6"/>
      <c r="AC1599" s="6"/>
    </row>
    <row r="1600" spans="2:29" customFormat="1" x14ac:dyDescent="0.25">
      <c r="B1600" s="266"/>
      <c r="X1600" s="154"/>
      <c r="Y1600" s="165"/>
      <c r="Z1600" s="6"/>
      <c r="AA1600" s="6"/>
      <c r="AB1600" s="6"/>
      <c r="AC1600" s="6"/>
    </row>
    <row r="1601" spans="2:29" customFormat="1" x14ac:dyDescent="0.25">
      <c r="B1601" s="266"/>
      <c r="X1601" s="154"/>
      <c r="Y1601" s="165"/>
      <c r="Z1601" s="6"/>
      <c r="AA1601" s="6"/>
      <c r="AB1601" s="6"/>
      <c r="AC1601" s="6"/>
    </row>
    <row r="1602" spans="2:29" customFormat="1" x14ac:dyDescent="0.25">
      <c r="B1602" s="266"/>
      <c r="X1602" s="154"/>
      <c r="Y1602" s="165"/>
      <c r="Z1602" s="6"/>
      <c r="AA1602" s="6"/>
      <c r="AB1602" s="6"/>
      <c r="AC1602" s="6"/>
    </row>
    <row r="1603" spans="2:29" customFormat="1" x14ac:dyDescent="0.25">
      <c r="B1603" s="266"/>
      <c r="X1603" s="154"/>
      <c r="Y1603" s="165"/>
      <c r="Z1603" s="6"/>
      <c r="AA1603" s="6"/>
      <c r="AB1603" s="6"/>
      <c r="AC1603" s="6"/>
    </row>
    <row r="1604" spans="2:29" customFormat="1" x14ac:dyDescent="0.25">
      <c r="B1604" s="266"/>
      <c r="X1604" s="154"/>
      <c r="Y1604" s="165"/>
      <c r="Z1604" s="6"/>
      <c r="AA1604" s="6"/>
      <c r="AB1604" s="6"/>
      <c r="AC1604" s="6"/>
    </row>
    <row r="1605" spans="2:29" customFormat="1" x14ac:dyDescent="0.25">
      <c r="B1605" s="266"/>
      <c r="X1605" s="154"/>
      <c r="Y1605" s="165"/>
      <c r="Z1605" s="6"/>
      <c r="AA1605" s="6"/>
      <c r="AB1605" s="6"/>
      <c r="AC1605" s="6"/>
    </row>
    <row r="1606" spans="2:29" customFormat="1" x14ac:dyDescent="0.25">
      <c r="B1606" s="266"/>
      <c r="X1606" s="154"/>
      <c r="Y1606" s="165"/>
      <c r="Z1606" s="6"/>
      <c r="AA1606" s="6"/>
      <c r="AB1606" s="6"/>
      <c r="AC1606" s="6"/>
    </row>
    <row r="1607" spans="2:29" customFormat="1" x14ac:dyDescent="0.25">
      <c r="B1607" s="266"/>
      <c r="X1607" s="154"/>
      <c r="Y1607" s="165"/>
      <c r="Z1607" s="6"/>
      <c r="AA1607" s="6"/>
      <c r="AB1607" s="6"/>
      <c r="AC1607" s="6"/>
    </row>
    <row r="1608" spans="2:29" customFormat="1" x14ac:dyDescent="0.25">
      <c r="B1608" s="266"/>
      <c r="X1608" s="154"/>
      <c r="Y1608" s="165"/>
      <c r="Z1608" s="6"/>
      <c r="AA1608" s="6"/>
      <c r="AB1608" s="6"/>
      <c r="AC1608" s="6"/>
    </row>
    <row r="1609" spans="2:29" customFormat="1" x14ac:dyDescent="0.25">
      <c r="B1609" s="266"/>
      <c r="X1609" s="154"/>
      <c r="Y1609" s="165"/>
      <c r="Z1609" s="6"/>
      <c r="AA1609" s="6"/>
      <c r="AB1609" s="6"/>
      <c r="AC1609" s="6"/>
    </row>
    <row r="1610" spans="2:29" customFormat="1" x14ac:dyDescent="0.25">
      <c r="B1610" s="266"/>
      <c r="X1610" s="154"/>
      <c r="Y1610" s="165"/>
      <c r="Z1610" s="6"/>
      <c r="AA1610" s="6"/>
      <c r="AB1610" s="6"/>
      <c r="AC1610" s="6"/>
    </row>
    <row r="1611" spans="2:29" customFormat="1" x14ac:dyDescent="0.25">
      <c r="B1611" s="266"/>
      <c r="X1611" s="154"/>
      <c r="Y1611" s="165"/>
      <c r="Z1611" s="6"/>
      <c r="AA1611" s="6"/>
      <c r="AB1611" s="6"/>
      <c r="AC1611" s="6"/>
    </row>
    <row r="1612" spans="2:29" customFormat="1" x14ac:dyDescent="0.25">
      <c r="B1612" s="266"/>
      <c r="X1612" s="154"/>
      <c r="Y1612" s="165"/>
      <c r="Z1612" s="6"/>
      <c r="AA1612" s="6"/>
      <c r="AB1612" s="6"/>
      <c r="AC1612" s="6"/>
    </row>
    <row r="1613" spans="2:29" customFormat="1" x14ac:dyDescent="0.25">
      <c r="B1613" s="266"/>
      <c r="X1613" s="154"/>
      <c r="Y1613" s="165"/>
      <c r="Z1613" s="6"/>
      <c r="AA1613" s="6"/>
      <c r="AB1613" s="6"/>
      <c r="AC1613" s="6"/>
    </row>
    <row r="1614" spans="2:29" customFormat="1" x14ac:dyDescent="0.25">
      <c r="B1614" s="266"/>
      <c r="X1614" s="154"/>
      <c r="Y1614" s="165"/>
      <c r="Z1614" s="6"/>
      <c r="AA1614" s="6"/>
      <c r="AB1614" s="6"/>
      <c r="AC1614" s="6"/>
    </row>
    <row r="1615" spans="2:29" customFormat="1" x14ac:dyDescent="0.25">
      <c r="B1615" s="266"/>
      <c r="X1615" s="154"/>
      <c r="Y1615" s="165"/>
      <c r="Z1615" s="6"/>
      <c r="AA1615" s="6"/>
      <c r="AB1615" s="6"/>
      <c r="AC1615" s="6"/>
    </row>
    <row r="1616" spans="2:29" customFormat="1" x14ac:dyDescent="0.25">
      <c r="B1616" s="266"/>
      <c r="X1616" s="154"/>
      <c r="Y1616" s="165"/>
      <c r="Z1616" s="6"/>
      <c r="AA1616" s="6"/>
      <c r="AB1616" s="6"/>
      <c r="AC1616" s="6"/>
    </row>
    <row r="1617" spans="2:29" customFormat="1" x14ac:dyDescent="0.25">
      <c r="B1617" s="266"/>
      <c r="X1617" s="154"/>
      <c r="Y1617" s="165"/>
      <c r="Z1617" s="6"/>
      <c r="AA1617" s="6"/>
      <c r="AB1617" s="6"/>
      <c r="AC1617" s="6"/>
    </row>
    <row r="1618" spans="2:29" customFormat="1" x14ac:dyDescent="0.25">
      <c r="B1618" s="266"/>
      <c r="X1618" s="154"/>
      <c r="Y1618" s="165"/>
      <c r="Z1618" s="6"/>
      <c r="AA1618" s="6"/>
      <c r="AB1618" s="6"/>
      <c r="AC1618" s="6"/>
    </row>
    <row r="1619" spans="2:29" customFormat="1" x14ac:dyDescent="0.25">
      <c r="B1619" s="266"/>
      <c r="X1619" s="154"/>
      <c r="Y1619" s="165"/>
      <c r="Z1619" s="6"/>
      <c r="AA1619" s="6"/>
      <c r="AB1619" s="6"/>
      <c r="AC1619" s="6"/>
    </row>
    <row r="1620" spans="2:29" customFormat="1" x14ac:dyDescent="0.25">
      <c r="B1620" s="266"/>
      <c r="X1620" s="154"/>
      <c r="Y1620" s="165"/>
      <c r="Z1620" s="6"/>
      <c r="AA1620" s="6"/>
      <c r="AB1620" s="6"/>
      <c r="AC1620" s="6"/>
    </row>
    <row r="1621" spans="2:29" customFormat="1" x14ac:dyDescent="0.25">
      <c r="B1621" s="266"/>
      <c r="X1621" s="154"/>
      <c r="Y1621" s="165"/>
      <c r="Z1621" s="6"/>
      <c r="AA1621" s="6"/>
      <c r="AB1621" s="6"/>
      <c r="AC1621" s="6"/>
    </row>
    <row r="1622" spans="2:29" customFormat="1" x14ac:dyDescent="0.25">
      <c r="B1622" s="266"/>
      <c r="X1622" s="154"/>
      <c r="Y1622" s="165"/>
      <c r="Z1622" s="6"/>
      <c r="AA1622" s="6"/>
      <c r="AB1622" s="6"/>
      <c r="AC1622" s="6"/>
    </row>
    <row r="1623" spans="2:29" customFormat="1" x14ac:dyDescent="0.25">
      <c r="B1623" s="266"/>
      <c r="X1623" s="154"/>
      <c r="Y1623" s="165"/>
      <c r="Z1623" s="6"/>
      <c r="AA1623" s="6"/>
      <c r="AB1623" s="6"/>
      <c r="AC1623" s="6"/>
    </row>
    <row r="1624" spans="2:29" customFormat="1" x14ac:dyDescent="0.25">
      <c r="B1624" s="266"/>
      <c r="X1624" s="154"/>
      <c r="Y1624" s="165"/>
      <c r="Z1624" s="6"/>
      <c r="AA1624" s="6"/>
      <c r="AB1624" s="6"/>
      <c r="AC1624" s="6"/>
    </row>
    <row r="1625" spans="2:29" customFormat="1" x14ac:dyDescent="0.25">
      <c r="B1625" s="266"/>
      <c r="X1625" s="154"/>
      <c r="Y1625" s="165"/>
      <c r="Z1625" s="6"/>
      <c r="AA1625" s="6"/>
      <c r="AB1625" s="6"/>
      <c r="AC1625" s="6"/>
    </row>
    <row r="1626" spans="2:29" customFormat="1" x14ac:dyDescent="0.25">
      <c r="B1626" s="266"/>
      <c r="X1626" s="154"/>
      <c r="Y1626" s="165"/>
      <c r="Z1626" s="6"/>
      <c r="AA1626" s="6"/>
      <c r="AB1626" s="6"/>
      <c r="AC1626" s="6"/>
    </row>
    <row r="1627" spans="2:29" customFormat="1" x14ac:dyDescent="0.25">
      <c r="B1627" s="266"/>
      <c r="X1627" s="154"/>
      <c r="Y1627" s="165"/>
      <c r="Z1627" s="6"/>
      <c r="AA1627" s="6"/>
      <c r="AB1627" s="6"/>
      <c r="AC1627" s="6"/>
    </row>
    <row r="1628" spans="2:29" customFormat="1" x14ac:dyDescent="0.25">
      <c r="B1628" s="266"/>
      <c r="X1628" s="154"/>
      <c r="Y1628" s="165"/>
      <c r="Z1628" s="6"/>
      <c r="AA1628" s="6"/>
      <c r="AB1628" s="6"/>
      <c r="AC1628" s="6"/>
    </row>
    <row r="1629" spans="2:29" customFormat="1" x14ac:dyDescent="0.25">
      <c r="B1629" s="266"/>
      <c r="X1629" s="154"/>
      <c r="Y1629" s="165"/>
      <c r="Z1629" s="6"/>
      <c r="AA1629" s="6"/>
      <c r="AB1629" s="6"/>
      <c r="AC1629" s="6"/>
    </row>
    <row r="1630" spans="2:29" customFormat="1" x14ac:dyDescent="0.25">
      <c r="B1630" s="266"/>
      <c r="X1630" s="154"/>
      <c r="Y1630" s="165"/>
      <c r="Z1630" s="6"/>
      <c r="AA1630" s="6"/>
      <c r="AB1630" s="6"/>
      <c r="AC1630" s="6"/>
    </row>
    <row r="1631" spans="2:29" customFormat="1" x14ac:dyDescent="0.25">
      <c r="B1631" s="266"/>
      <c r="X1631" s="154"/>
      <c r="Y1631" s="165"/>
      <c r="Z1631" s="6"/>
      <c r="AA1631" s="6"/>
      <c r="AB1631" s="6"/>
      <c r="AC1631" s="6"/>
    </row>
    <row r="1632" spans="2:29" customFormat="1" x14ac:dyDescent="0.25">
      <c r="B1632" s="266"/>
      <c r="X1632" s="154"/>
      <c r="Y1632" s="165"/>
      <c r="Z1632" s="6"/>
      <c r="AA1632" s="6"/>
      <c r="AB1632" s="6"/>
      <c r="AC1632" s="6"/>
    </row>
    <row r="1633" spans="2:29" customFormat="1" x14ac:dyDescent="0.25">
      <c r="B1633" s="266"/>
      <c r="X1633" s="154"/>
      <c r="Y1633" s="165"/>
      <c r="Z1633" s="6"/>
      <c r="AA1633" s="6"/>
      <c r="AB1633" s="6"/>
      <c r="AC1633" s="6"/>
    </row>
    <row r="1634" spans="2:29" customFormat="1" x14ac:dyDescent="0.25">
      <c r="B1634" s="266"/>
      <c r="X1634" s="154"/>
      <c r="Y1634" s="165"/>
      <c r="Z1634" s="6"/>
      <c r="AA1634" s="6"/>
      <c r="AB1634" s="6"/>
      <c r="AC1634" s="6"/>
    </row>
    <row r="1635" spans="2:29" customFormat="1" x14ac:dyDescent="0.25">
      <c r="B1635" s="266"/>
      <c r="X1635" s="154"/>
      <c r="Y1635" s="165"/>
      <c r="Z1635" s="6"/>
      <c r="AA1635" s="6"/>
      <c r="AB1635" s="6"/>
      <c r="AC1635" s="6"/>
    </row>
    <row r="1636" spans="2:29" customFormat="1" x14ac:dyDescent="0.25">
      <c r="B1636" s="266"/>
      <c r="X1636" s="154"/>
      <c r="Y1636" s="165"/>
      <c r="Z1636" s="6"/>
      <c r="AA1636" s="6"/>
      <c r="AB1636" s="6"/>
      <c r="AC1636" s="6"/>
    </row>
    <row r="1637" spans="2:29" customFormat="1" x14ac:dyDescent="0.25">
      <c r="B1637" s="266"/>
      <c r="X1637" s="154"/>
      <c r="Y1637" s="165"/>
      <c r="Z1637" s="6"/>
      <c r="AA1637" s="6"/>
      <c r="AB1637" s="6"/>
      <c r="AC1637" s="6"/>
    </row>
    <row r="1638" spans="2:29" customFormat="1" x14ac:dyDescent="0.25">
      <c r="B1638" s="266"/>
      <c r="X1638" s="154"/>
      <c r="Y1638" s="165"/>
      <c r="Z1638" s="6"/>
      <c r="AA1638" s="6"/>
      <c r="AB1638" s="6"/>
      <c r="AC1638" s="6"/>
    </row>
    <row r="1639" spans="2:29" customFormat="1" x14ac:dyDescent="0.25">
      <c r="B1639" s="266"/>
      <c r="X1639" s="154"/>
      <c r="Y1639" s="165"/>
      <c r="Z1639" s="6"/>
      <c r="AA1639" s="6"/>
      <c r="AB1639" s="6"/>
      <c r="AC1639" s="6"/>
    </row>
    <row r="1640" spans="2:29" customFormat="1" x14ac:dyDescent="0.25">
      <c r="B1640" s="266"/>
      <c r="X1640" s="154"/>
      <c r="Y1640" s="165"/>
      <c r="Z1640" s="6"/>
      <c r="AA1640" s="6"/>
      <c r="AB1640" s="6"/>
      <c r="AC1640" s="6"/>
    </row>
    <row r="1641" spans="2:29" customFormat="1" x14ac:dyDescent="0.25">
      <c r="B1641" s="266"/>
      <c r="X1641" s="154"/>
      <c r="Y1641" s="165"/>
      <c r="Z1641" s="6"/>
      <c r="AA1641" s="6"/>
      <c r="AB1641" s="6"/>
      <c r="AC1641" s="6"/>
    </row>
    <row r="1642" spans="2:29" customFormat="1" x14ac:dyDescent="0.25">
      <c r="B1642" s="266"/>
      <c r="X1642" s="154"/>
      <c r="Y1642" s="165"/>
      <c r="Z1642" s="6"/>
      <c r="AA1642" s="6"/>
      <c r="AB1642" s="6"/>
      <c r="AC1642" s="6"/>
    </row>
    <row r="1643" spans="2:29" customFormat="1" x14ac:dyDescent="0.25">
      <c r="B1643" s="266"/>
      <c r="X1643" s="154"/>
      <c r="Y1643" s="165"/>
      <c r="Z1643" s="6"/>
      <c r="AA1643" s="6"/>
      <c r="AB1643" s="6"/>
      <c r="AC1643" s="6"/>
    </row>
    <row r="1644" spans="2:29" customFormat="1" x14ac:dyDescent="0.25">
      <c r="B1644" s="266"/>
      <c r="X1644" s="154"/>
      <c r="Y1644" s="165"/>
      <c r="Z1644" s="6"/>
      <c r="AA1644" s="6"/>
      <c r="AB1644" s="6"/>
      <c r="AC1644" s="6"/>
    </row>
    <row r="1645" spans="2:29" customFormat="1" x14ac:dyDescent="0.25">
      <c r="B1645" s="266"/>
      <c r="X1645" s="154"/>
      <c r="Y1645" s="165"/>
      <c r="Z1645" s="6"/>
      <c r="AA1645" s="6"/>
      <c r="AB1645" s="6"/>
      <c r="AC1645" s="6"/>
    </row>
    <row r="1646" spans="2:29" customFormat="1" x14ac:dyDescent="0.25">
      <c r="B1646" s="266"/>
      <c r="X1646" s="154"/>
      <c r="Y1646" s="165"/>
      <c r="Z1646" s="6"/>
      <c r="AA1646" s="6"/>
      <c r="AB1646" s="6"/>
      <c r="AC1646" s="6"/>
    </row>
    <row r="1647" spans="2:29" customFormat="1" x14ac:dyDescent="0.25">
      <c r="B1647" s="266"/>
      <c r="X1647" s="154"/>
      <c r="Y1647" s="165"/>
      <c r="Z1647" s="6"/>
      <c r="AA1647" s="6"/>
      <c r="AB1647" s="6"/>
      <c r="AC1647" s="6"/>
    </row>
    <row r="1648" spans="2:29" customFormat="1" x14ac:dyDescent="0.25">
      <c r="B1648" s="266"/>
      <c r="X1648" s="154"/>
      <c r="Y1648" s="165"/>
      <c r="Z1648" s="6"/>
      <c r="AA1648" s="6"/>
      <c r="AB1648" s="6"/>
      <c r="AC1648" s="6"/>
    </row>
    <row r="1649" spans="2:29" customFormat="1" x14ac:dyDescent="0.25">
      <c r="B1649" s="266"/>
      <c r="X1649" s="154"/>
      <c r="Y1649" s="165"/>
      <c r="Z1649" s="6"/>
      <c r="AA1649" s="6"/>
      <c r="AB1649" s="6"/>
      <c r="AC1649" s="6"/>
    </row>
    <row r="1650" spans="2:29" customFormat="1" x14ac:dyDescent="0.25">
      <c r="B1650" s="266"/>
      <c r="X1650" s="154"/>
      <c r="Y1650" s="165"/>
      <c r="Z1650" s="6"/>
      <c r="AA1650" s="6"/>
      <c r="AB1650" s="6"/>
      <c r="AC1650" s="6"/>
    </row>
    <row r="1651" spans="2:29" customFormat="1" x14ac:dyDescent="0.25">
      <c r="B1651" s="266"/>
      <c r="X1651" s="154"/>
      <c r="Y1651" s="165"/>
      <c r="Z1651" s="6"/>
      <c r="AA1651" s="6"/>
      <c r="AB1651" s="6"/>
      <c r="AC1651" s="6"/>
    </row>
    <row r="1652" spans="2:29" customFormat="1" x14ac:dyDescent="0.25">
      <c r="B1652" s="266"/>
      <c r="X1652" s="154"/>
      <c r="Y1652" s="165"/>
      <c r="Z1652" s="6"/>
      <c r="AA1652" s="6"/>
      <c r="AB1652" s="6"/>
      <c r="AC1652" s="6"/>
    </row>
    <row r="1653" spans="2:29" customFormat="1" x14ac:dyDescent="0.25">
      <c r="B1653" s="266"/>
      <c r="X1653" s="154"/>
      <c r="Y1653" s="165"/>
      <c r="Z1653" s="6"/>
      <c r="AA1653" s="6"/>
      <c r="AB1653" s="6"/>
      <c r="AC1653" s="6"/>
    </row>
    <row r="1654" spans="2:29" customFormat="1" x14ac:dyDescent="0.25">
      <c r="B1654" s="266"/>
      <c r="X1654" s="154"/>
      <c r="Y1654" s="165"/>
      <c r="Z1654" s="6"/>
      <c r="AA1654" s="6"/>
      <c r="AB1654" s="6"/>
      <c r="AC1654" s="6"/>
    </row>
    <row r="1655" spans="2:29" customFormat="1" x14ac:dyDescent="0.25">
      <c r="B1655" s="266"/>
      <c r="X1655" s="154"/>
      <c r="Y1655" s="165"/>
      <c r="Z1655" s="6"/>
      <c r="AA1655" s="6"/>
      <c r="AB1655" s="6"/>
      <c r="AC1655" s="6"/>
    </row>
    <row r="1656" spans="2:29" customFormat="1" x14ac:dyDescent="0.25">
      <c r="B1656" s="266"/>
      <c r="X1656" s="154"/>
      <c r="Y1656" s="165"/>
      <c r="Z1656" s="6"/>
      <c r="AA1656" s="6"/>
      <c r="AB1656" s="6"/>
      <c r="AC1656" s="6"/>
    </row>
    <row r="1657" spans="2:29" customFormat="1" x14ac:dyDescent="0.25">
      <c r="B1657" s="266"/>
      <c r="X1657" s="154"/>
      <c r="Y1657" s="165"/>
      <c r="Z1657" s="6"/>
      <c r="AA1657" s="6"/>
      <c r="AB1657" s="6"/>
      <c r="AC1657" s="6"/>
    </row>
    <row r="1658" spans="2:29" customFormat="1" x14ac:dyDescent="0.25">
      <c r="B1658" s="266"/>
      <c r="X1658" s="154"/>
      <c r="Y1658" s="165"/>
      <c r="Z1658" s="6"/>
      <c r="AA1658" s="6"/>
      <c r="AB1658" s="6"/>
      <c r="AC1658" s="6"/>
    </row>
    <row r="1659" spans="2:29" customFormat="1" x14ac:dyDescent="0.25">
      <c r="B1659" s="266"/>
      <c r="X1659" s="154"/>
      <c r="Y1659" s="165"/>
      <c r="Z1659" s="6"/>
      <c r="AA1659" s="6"/>
      <c r="AB1659" s="6"/>
      <c r="AC1659" s="6"/>
    </row>
    <row r="1660" spans="2:29" customFormat="1" x14ac:dyDescent="0.25">
      <c r="B1660" s="266"/>
      <c r="X1660" s="154"/>
      <c r="Y1660" s="165"/>
      <c r="Z1660" s="6"/>
      <c r="AA1660" s="6"/>
      <c r="AB1660" s="6"/>
      <c r="AC1660" s="6"/>
    </row>
    <row r="1661" spans="2:29" customFormat="1" x14ac:dyDescent="0.25">
      <c r="B1661" s="266"/>
      <c r="X1661" s="154"/>
      <c r="Y1661" s="165"/>
      <c r="Z1661" s="6"/>
      <c r="AA1661" s="6"/>
      <c r="AB1661" s="6"/>
      <c r="AC1661" s="6"/>
    </row>
    <row r="1662" spans="2:29" customFormat="1" x14ac:dyDescent="0.25">
      <c r="B1662" s="266"/>
      <c r="X1662" s="154"/>
      <c r="Y1662" s="165"/>
      <c r="Z1662" s="6"/>
      <c r="AA1662" s="6"/>
      <c r="AB1662" s="6"/>
      <c r="AC1662" s="6"/>
    </row>
    <row r="1663" spans="2:29" customFormat="1" x14ac:dyDescent="0.25">
      <c r="B1663" s="266"/>
      <c r="X1663" s="154"/>
      <c r="Y1663" s="165"/>
      <c r="Z1663" s="6"/>
      <c r="AA1663" s="6"/>
      <c r="AB1663" s="6"/>
      <c r="AC1663" s="6"/>
    </row>
    <row r="1664" spans="2:29" customFormat="1" x14ac:dyDescent="0.25">
      <c r="B1664" s="266"/>
      <c r="X1664" s="154"/>
      <c r="Y1664" s="165"/>
      <c r="Z1664" s="6"/>
      <c r="AA1664" s="6"/>
      <c r="AB1664" s="6"/>
      <c r="AC1664" s="6"/>
    </row>
    <row r="1665" spans="2:29" customFormat="1" x14ac:dyDescent="0.25">
      <c r="B1665" s="266"/>
      <c r="X1665" s="154"/>
      <c r="Y1665" s="165"/>
      <c r="Z1665" s="6"/>
      <c r="AA1665" s="6"/>
      <c r="AB1665" s="6"/>
      <c r="AC1665" s="6"/>
    </row>
    <row r="1666" spans="2:29" customFormat="1" x14ac:dyDescent="0.25">
      <c r="B1666" s="266"/>
      <c r="X1666" s="154"/>
      <c r="Y1666" s="165"/>
      <c r="Z1666" s="6"/>
      <c r="AA1666" s="6"/>
      <c r="AB1666" s="6"/>
      <c r="AC1666" s="6"/>
    </row>
    <row r="1667" spans="2:29" customFormat="1" x14ac:dyDescent="0.25">
      <c r="B1667" s="266"/>
      <c r="X1667" s="154"/>
      <c r="Y1667" s="165"/>
      <c r="Z1667" s="6"/>
      <c r="AA1667" s="6"/>
      <c r="AB1667" s="6"/>
      <c r="AC1667" s="6"/>
    </row>
    <row r="1668" spans="2:29" customFormat="1" x14ac:dyDescent="0.25">
      <c r="B1668" s="266"/>
      <c r="X1668" s="154"/>
      <c r="Y1668" s="165"/>
      <c r="Z1668" s="6"/>
      <c r="AA1668" s="6"/>
      <c r="AB1668" s="6"/>
      <c r="AC1668" s="6"/>
    </row>
    <row r="1669" spans="2:29" customFormat="1" x14ac:dyDescent="0.25">
      <c r="B1669" s="266"/>
      <c r="X1669" s="154"/>
      <c r="Y1669" s="165"/>
      <c r="Z1669" s="6"/>
      <c r="AA1669" s="6"/>
      <c r="AB1669" s="6"/>
      <c r="AC1669" s="6"/>
    </row>
    <row r="1670" spans="2:29" customFormat="1" x14ac:dyDescent="0.25">
      <c r="B1670" s="266"/>
      <c r="X1670" s="154"/>
      <c r="Y1670" s="165"/>
      <c r="Z1670" s="6"/>
      <c r="AA1670" s="6"/>
      <c r="AB1670" s="6"/>
      <c r="AC1670" s="6"/>
    </row>
    <row r="1671" spans="2:29" customFormat="1" x14ac:dyDescent="0.25">
      <c r="B1671" s="266"/>
      <c r="X1671" s="154"/>
      <c r="Y1671" s="165"/>
      <c r="Z1671" s="6"/>
      <c r="AA1671" s="6"/>
      <c r="AB1671" s="6"/>
      <c r="AC1671" s="6"/>
    </row>
    <row r="1672" spans="2:29" customFormat="1" x14ac:dyDescent="0.25">
      <c r="B1672" s="266"/>
      <c r="X1672" s="154"/>
      <c r="Y1672" s="165"/>
      <c r="Z1672" s="6"/>
      <c r="AA1672" s="6"/>
      <c r="AB1672" s="6"/>
      <c r="AC1672" s="6"/>
    </row>
    <row r="1673" spans="2:29" customFormat="1" x14ac:dyDescent="0.25">
      <c r="B1673" s="266"/>
      <c r="X1673" s="154"/>
      <c r="Y1673" s="165"/>
      <c r="Z1673" s="6"/>
      <c r="AA1673" s="6"/>
      <c r="AB1673" s="6"/>
      <c r="AC1673" s="6"/>
    </row>
    <row r="1674" spans="2:29" customFormat="1" x14ac:dyDescent="0.25">
      <c r="B1674" s="266"/>
      <c r="X1674" s="154"/>
      <c r="Y1674" s="165"/>
      <c r="Z1674" s="6"/>
      <c r="AA1674" s="6"/>
      <c r="AB1674" s="6"/>
      <c r="AC1674" s="6"/>
    </row>
    <row r="1675" spans="2:29" customFormat="1" x14ac:dyDescent="0.25">
      <c r="B1675" s="266"/>
      <c r="X1675" s="154"/>
      <c r="Y1675" s="165"/>
      <c r="Z1675" s="6"/>
      <c r="AA1675" s="6"/>
      <c r="AB1675" s="6"/>
      <c r="AC1675" s="6"/>
    </row>
    <row r="1676" spans="2:29" customFormat="1" x14ac:dyDescent="0.25">
      <c r="B1676" s="266"/>
      <c r="X1676" s="154"/>
      <c r="Y1676" s="165"/>
      <c r="Z1676" s="6"/>
      <c r="AA1676" s="6"/>
      <c r="AB1676" s="6"/>
      <c r="AC1676" s="6"/>
    </row>
    <row r="1677" spans="2:29" customFormat="1" x14ac:dyDescent="0.25">
      <c r="B1677" s="266"/>
      <c r="X1677" s="154"/>
      <c r="Y1677" s="165"/>
      <c r="Z1677" s="6"/>
      <c r="AA1677" s="6"/>
      <c r="AB1677" s="6"/>
      <c r="AC1677" s="6"/>
    </row>
    <row r="1678" spans="2:29" customFormat="1" x14ac:dyDescent="0.25">
      <c r="B1678" s="266"/>
      <c r="X1678" s="154"/>
      <c r="Y1678" s="165"/>
      <c r="Z1678" s="6"/>
      <c r="AA1678" s="6"/>
      <c r="AB1678" s="6"/>
      <c r="AC1678" s="6"/>
    </row>
    <row r="1679" spans="2:29" customFormat="1" x14ac:dyDescent="0.25">
      <c r="B1679" s="266"/>
      <c r="X1679" s="154"/>
      <c r="Y1679" s="165"/>
      <c r="Z1679" s="6"/>
      <c r="AA1679" s="6"/>
      <c r="AB1679" s="6"/>
      <c r="AC1679" s="6"/>
    </row>
    <row r="1680" spans="2:29" customFormat="1" x14ac:dyDescent="0.25">
      <c r="B1680" s="266"/>
      <c r="X1680" s="154"/>
      <c r="Y1680" s="165"/>
      <c r="Z1680" s="6"/>
      <c r="AA1680" s="6"/>
      <c r="AB1680" s="6"/>
      <c r="AC1680" s="6"/>
    </row>
    <row r="1681" spans="2:29" customFormat="1" x14ac:dyDescent="0.25">
      <c r="B1681" s="266"/>
      <c r="X1681" s="154"/>
      <c r="Y1681" s="165"/>
      <c r="Z1681" s="6"/>
      <c r="AA1681" s="6"/>
      <c r="AB1681" s="6"/>
      <c r="AC1681" s="6"/>
    </row>
    <row r="1682" spans="2:29" customFormat="1" x14ac:dyDescent="0.25">
      <c r="B1682" s="266"/>
      <c r="X1682" s="154"/>
      <c r="Y1682" s="165"/>
      <c r="Z1682" s="6"/>
      <c r="AA1682" s="6"/>
      <c r="AB1682" s="6"/>
      <c r="AC1682" s="6"/>
    </row>
    <row r="1683" spans="2:29" customFormat="1" x14ac:dyDescent="0.25">
      <c r="B1683" s="266"/>
      <c r="X1683" s="154"/>
      <c r="Y1683" s="165"/>
      <c r="Z1683" s="6"/>
      <c r="AA1683" s="6"/>
      <c r="AB1683" s="6"/>
      <c r="AC1683" s="6"/>
    </row>
    <row r="1684" spans="2:29" customFormat="1" x14ac:dyDescent="0.25">
      <c r="B1684" s="266"/>
      <c r="D1684" s="151"/>
      <c r="E1684" s="151"/>
      <c r="F1684" s="151"/>
      <c r="G1684" s="151"/>
      <c r="H1684" s="151"/>
      <c r="I1684" s="151"/>
      <c r="J1684" s="152"/>
      <c r="K1684" s="152"/>
      <c r="L1684" s="152"/>
      <c r="M1684" s="130"/>
      <c r="N1684" s="130"/>
      <c r="O1684" s="130"/>
      <c r="P1684" s="136"/>
      <c r="Q1684" s="136"/>
      <c r="R1684" s="136"/>
      <c r="S1684" s="137"/>
      <c r="X1684" s="154"/>
      <c r="Y1684" s="165"/>
      <c r="Z1684" s="6"/>
      <c r="AA1684" s="6"/>
      <c r="AB1684" s="6"/>
      <c r="AC1684" s="6"/>
    </row>
  </sheetData>
  <sheetProtection password="EC77" sheet="1" objects="1" scenarios="1"/>
  <mergeCells count="8">
    <mergeCell ref="D1:AD1"/>
    <mergeCell ref="A2:C4"/>
    <mergeCell ref="D2:AD2"/>
    <mergeCell ref="D4:F4"/>
    <mergeCell ref="G4:O4"/>
    <mergeCell ref="Z4:AD4"/>
    <mergeCell ref="X4:Y4"/>
    <mergeCell ref="P4:W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zoomScale="85" zoomScaleNormal="85" workbookViewId="0">
      <selection activeCell="G38" sqref="G38"/>
    </sheetView>
  </sheetViews>
  <sheetFormatPr defaultRowHeight="15" x14ac:dyDescent="0.25"/>
  <cols>
    <col min="1" max="1" width="10" style="418" bestFit="1" customWidth="1"/>
    <col min="2" max="2" width="37" style="418" bestFit="1" customWidth="1"/>
    <col min="3" max="3" width="8.7109375" style="418" bestFit="1" customWidth="1"/>
    <col min="4" max="4" width="9.7109375" style="418" customWidth="1"/>
    <col min="5" max="5" width="6" style="418" customWidth="1"/>
    <col min="6" max="6" width="10" style="418" bestFit="1" customWidth="1"/>
    <col min="7" max="7" width="37" style="418" bestFit="1" customWidth="1"/>
    <col min="8" max="8" width="8.7109375" style="418" bestFit="1" customWidth="1"/>
    <col min="9" max="9" width="8.5703125" style="418" customWidth="1"/>
    <col min="10" max="10" width="14.140625" style="418" customWidth="1"/>
    <col min="11" max="11" width="40.140625" style="418" customWidth="1"/>
    <col min="12" max="12" width="9.42578125" style="418" customWidth="1"/>
    <col min="13" max="13" width="10.28515625" style="418" customWidth="1"/>
    <col min="14" max="14" width="14.140625" style="418" customWidth="1"/>
    <col min="15" max="15" width="17.28515625" style="418" bestFit="1" customWidth="1"/>
    <col min="16" max="16" width="16" style="418" customWidth="1"/>
  </cols>
  <sheetData>
    <row r="1" spans="1:16" ht="18" x14ac:dyDescent="0.25">
      <c r="A1" s="419"/>
      <c r="B1" s="897" t="s">
        <v>241</v>
      </c>
      <c r="C1" s="897"/>
      <c r="D1" s="897"/>
      <c r="E1" s="897"/>
      <c r="F1" s="897"/>
      <c r="G1" s="897"/>
      <c r="H1" s="897"/>
      <c r="I1" s="897"/>
      <c r="K1" s="898" t="s">
        <v>241</v>
      </c>
      <c r="L1" s="899"/>
      <c r="M1" s="899"/>
      <c r="N1" s="899"/>
      <c r="O1" s="899"/>
      <c r="P1" s="900"/>
    </row>
    <row r="2" spans="1:16" ht="18" customHeight="1" x14ac:dyDescent="0.25">
      <c r="A2" s="907" t="s">
        <v>199</v>
      </c>
      <c r="B2" s="907"/>
      <c r="C2" s="907"/>
      <c r="D2" s="907"/>
      <c r="E2" s="908"/>
      <c r="F2" s="907" t="s">
        <v>200</v>
      </c>
      <c r="G2" s="907"/>
      <c r="H2" s="907"/>
      <c r="I2" s="907"/>
      <c r="K2" s="901" t="s">
        <v>306</v>
      </c>
      <c r="L2" s="902"/>
      <c r="M2" s="902"/>
      <c r="N2" s="902"/>
      <c r="O2" s="902"/>
      <c r="P2" s="903"/>
    </row>
    <row r="3" spans="1:16" x14ac:dyDescent="0.25">
      <c r="A3" s="907"/>
      <c r="B3" s="907"/>
      <c r="C3" s="907"/>
      <c r="D3" s="907"/>
      <c r="E3" s="909"/>
      <c r="F3" s="907"/>
      <c r="G3" s="907"/>
      <c r="H3" s="907"/>
      <c r="I3" s="907"/>
      <c r="K3" s="904"/>
      <c r="L3" s="905"/>
      <c r="M3" s="905"/>
      <c r="N3" s="905"/>
      <c r="O3" s="905"/>
      <c r="P3" s="906"/>
    </row>
    <row r="4" spans="1:16" ht="51" customHeight="1" x14ac:dyDescent="0.25">
      <c r="A4" s="652" t="s">
        <v>100</v>
      </c>
      <c r="B4" s="652" t="s">
        <v>311</v>
      </c>
      <c r="C4" s="652" t="s">
        <v>3</v>
      </c>
      <c r="D4" s="652" t="s">
        <v>78</v>
      </c>
      <c r="E4" s="420"/>
      <c r="F4" s="421" t="s">
        <v>101</v>
      </c>
      <c r="G4" s="421" t="s">
        <v>310</v>
      </c>
      <c r="H4" s="421" t="s">
        <v>3</v>
      </c>
      <c r="I4" s="421" t="s">
        <v>79</v>
      </c>
      <c r="K4" s="423" t="s">
        <v>312</v>
      </c>
      <c r="L4" s="423" t="s">
        <v>3</v>
      </c>
      <c r="M4" s="423" t="s">
        <v>89</v>
      </c>
      <c r="N4" s="424" t="s">
        <v>307</v>
      </c>
      <c r="O4" s="424" t="s">
        <v>308</v>
      </c>
      <c r="P4" s="424" t="s">
        <v>309</v>
      </c>
    </row>
    <row r="5" spans="1:16" x14ac:dyDescent="0.25">
      <c r="A5" s="721">
        <v>1</v>
      </c>
      <c r="B5" s="723" t="s">
        <v>23</v>
      </c>
      <c r="C5" s="724" t="s">
        <v>63</v>
      </c>
      <c r="D5" s="721">
        <v>7</v>
      </c>
      <c r="E5" s="422"/>
      <c r="F5" s="727">
        <v>1</v>
      </c>
      <c r="G5" s="729" t="s">
        <v>37</v>
      </c>
      <c r="H5" s="730" t="s">
        <v>21</v>
      </c>
      <c r="I5" s="727">
        <v>6</v>
      </c>
      <c r="K5" s="746" t="s">
        <v>23</v>
      </c>
      <c r="L5" s="751" t="s">
        <v>63</v>
      </c>
      <c r="M5" s="742">
        <v>115</v>
      </c>
      <c r="N5" s="739">
        <v>7</v>
      </c>
      <c r="O5" s="739">
        <v>0</v>
      </c>
      <c r="P5" s="739">
        <v>7</v>
      </c>
    </row>
    <row r="6" spans="1:16" x14ac:dyDescent="0.25">
      <c r="A6" s="721">
        <v>2</v>
      </c>
      <c r="B6" s="723" t="s">
        <v>42</v>
      </c>
      <c r="C6" s="724" t="s">
        <v>43</v>
      </c>
      <c r="D6" s="721">
        <v>5</v>
      </c>
      <c r="E6" s="422"/>
      <c r="F6" s="727">
        <v>1</v>
      </c>
      <c r="G6" s="729" t="s">
        <v>196</v>
      </c>
      <c r="H6" s="730" t="s">
        <v>52</v>
      </c>
      <c r="I6" s="727">
        <v>6</v>
      </c>
      <c r="K6" s="746" t="s">
        <v>42</v>
      </c>
      <c r="L6" s="751" t="s">
        <v>43</v>
      </c>
      <c r="M6" s="742">
        <v>349</v>
      </c>
      <c r="N6" s="739">
        <v>5</v>
      </c>
      <c r="O6" s="739">
        <v>0</v>
      </c>
      <c r="P6" s="739">
        <v>5</v>
      </c>
    </row>
    <row r="7" spans="1:16" x14ac:dyDescent="0.25">
      <c r="A7" s="721">
        <v>2</v>
      </c>
      <c r="B7" s="723" t="s">
        <v>16</v>
      </c>
      <c r="C7" s="724" t="s">
        <v>5</v>
      </c>
      <c r="D7" s="721">
        <v>5</v>
      </c>
      <c r="E7" s="422"/>
      <c r="F7" s="727">
        <v>1</v>
      </c>
      <c r="G7" s="729" t="s">
        <v>34</v>
      </c>
      <c r="H7" s="730" t="s">
        <v>21</v>
      </c>
      <c r="I7" s="727">
        <v>6</v>
      </c>
      <c r="K7" s="746" t="s">
        <v>16</v>
      </c>
      <c r="L7" s="751" t="s">
        <v>5</v>
      </c>
      <c r="M7" s="742">
        <v>62</v>
      </c>
      <c r="N7" s="739">
        <v>5</v>
      </c>
      <c r="O7" s="739">
        <v>1</v>
      </c>
      <c r="P7" s="739">
        <v>4</v>
      </c>
    </row>
    <row r="8" spans="1:16" x14ac:dyDescent="0.25">
      <c r="A8" s="721">
        <v>2</v>
      </c>
      <c r="B8" s="723" t="s">
        <v>61</v>
      </c>
      <c r="C8" s="724" t="s">
        <v>62</v>
      </c>
      <c r="D8" s="721">
        <v>5</v>
      </c>
      <c r="E8" s="422"/>
      <c r="F8" s="727">
        <v>4</v>
      </c>
      <c r="G8" s="729" t="s">
        <v>4</v>
      </c>
      <c r="H8" s="730" t="s">
        <v>5</v>
      </c>
      <c r="I8" s="727">
        <v>5</v>
      </c>
      <c r="K8" s="746" t="s">
        <v>47</v>
      </c>
      <c r="L8" s="751" t="s">
        <v>43</v>
      </c>
      <c r="M8" s="742">
        <v>63</v>
      </c>
      <c r="N8" s="739">
        <v>4</v>
      </c>
      <c r="O8" s="739">
        <v>0</v>
      </c>
      <c r="P8" s="739">
        <v>4</v>
      </c>
    </row>
    <row r="9" spans="1:16" x14ac:dyDescent="0.25">
      <c r="A9" s="721">
        <v>5</v>
      </c>
      <c r="B9" s="722" t="s">
        <v>69</v>
      </c>
      <c r="C9" s="726" t="s">
        <v>5</v>
      </c>
      <c r="D9" s="721">
        <v>4</v>
      </c>
      <c r="E9" s="422"/>
      <c r="F9" s="727">
        <v>4</v>
      </c>
      <c r="G9" s="729" t="s">
        <v>45</v>
      </c>
      <c r="H9" s="730" t="s">
        <v>43</v>
      </c>
      <c r="I9" s="727">
        <v>5</v>
      </c>
      <c r="K9" s="746" t="s">
        <v>53</v>
      </c>
      <c r="L9" s="751" t="s">
        <v>54</v>
      </c>
      <c r="M9" s="742">
        <v>77</v>
      </c>
      <c r="N9" s="739">
        <v>4</v>
      </c>
      <c r="O9" s="739">
        <v>0</v>
      </c>
      <c r="P9" s="739">
        <v>4</v>
      </c>
    </row>
    <row r="10" spans="1:16" x14ac:dyDescent="0.25">
      <c r="A10" s="721">
        <v>5</v>
      </c>
      <c r="B10" s="723" t="s">
        <v>177</v>
      </c>
      <c r="C10" s="724" t="s">
        <v>21</v>
      </c>
      <c r="D10" s="721">
        <v>4</v>
      </c>
      <c r="E10" s="422"/>
      <c r="F10" s="727">
        <v>4</v>
      </c>
      <c r="G10" s="729" t="s">
        <v>187</v>
      </c>
      <c r="H10" s="731" t="s">
        <v>40</v>
      </c>
      <c r="I10" s="727">
        <v>5</v>
      </c>
      <c r="K10" s="746" t="s">
        <v>61</v>
      </c>
      <c r="L10" s="751" t="s">
        <v>62</v>
      </c>
      <c r="M10" s="742">
        <v>107</v>
      </c>
      <c r="N10" s="739">
        <v>5</v>
      </c>
      <c r="O10" s="739">
        <v>1</v>
      </c>
      <c r="P10" s="739">
        <v>4</v>
      </c>
    </row>
    <row r="11" spans="1:16" x14ac:dyDescent="0.25">
      <c r="A11" s="721">
        <v>5</v>
      </c>
      <c r="B11" s="723" t="s">
        <v>48</v>
      </c>
      <c r="C11" s="724" t="s">
        <v>43</v>
      </c>
      <c r="D11" s="721">
        <v>4</v>
      </c>
      <c r="E11" s="422"/>
      <c r="F11" s="727">
        <v>7</v>
      </c>
      <c r="G11" s="728" t="s">
        <v>72</v>
      </c>
      <c r="H11" s="730" t="s">
        <v>52</v>
      </c>
      <c r="I11" s="727">
        <v>4</v>
      </c>
      <c r="K11" s="746" t="s">
        <v>66</v>
      </c>
      <c r="L11" s="751" t="s">
        <v>67</v>
      </c>
      <c r="M11" s="742">
        <v>137</v>
      </c>
      <c r="N11" s="739">
        <v>3</v>
      </c>
      <c r="O11" s="739">
        <v>0</v>
      </c>
      <c r="P11" s="739">
        <v>3</v>
      </c>
    </row>
    <row r="12" spans="1:16" x14ac:dyDescent="0.25">
      <c r="A12" s="721">
        <v>5</v>
      </c>
      <c r="B12" s="723" t="s">
        <v>47</v>
      </c>
      <c r="C12" s="724" t="s">
        <v>43</v>
      </c>
      <c r="D12" s="721">
        <v>4</v>
      </c>
      <c r="E12" s="422"/>
      <c r="F12" s="727">
        <v>7</v>
      </c>
      <c r="G12" s="728" t="s">
        <v>71</v>
      </c>
      <c r="H12" s="730" t="s">
        <v>21</v>
      </c>
      <c r="I12" s="727">
        <v>4</v>
      </c>
      <c r="K12" s="746" t="s">
        <v>8</v>
      </c>
      <c r="L12" s="751" t="s">
        <v>5</v>
      </c>
      <c r="M12" s="742">
        <v>129</v>
      </c>
      <c r="N12" s="739">
        <v>3</v>
      </c>
      <c r="O12" s="739">
        <v>0</v>
      </c>
      <c r="P12" s="739">
        <v>3</v>
      </c>
    </row>
    <row r="13" spans="1:16" x14ac:dyDescent="0.25">
      <c r="A13" s="721">
        <v>5</v>
      </c>
      <c r="B13" s="723" t="s">
        <v>53</v>
      </c>
      <c r="C13" s="724" t="s">
        <v>54</v>
      </c>
      <c r="D13" s="721">
        <v>4</v>
      </c>
      <c r="E13" s="422"/>
      <c r="F13" s="727">
        <v>7</v>
      </c>
      <c r="G13" s="734" t="s">
        <v>194</v>
      </c>
      <c r="H13" s="730" t="s">
        <v>43</v>
      </c>
      <c r="I13" s="727">
        <v>4</v>
      </c>
      <c r="K13" s="746" t="s">
        <v>11</v>
      </c>
      <c r="L13" s="751" t="s">
        <v>5</v>
      </c>
      <c r="M13" s="742">
        <v>113</v>
      </c>
      <c r="N13" s="739">
        <v>4</v>
      </c>
      <c r="O13" s="739">
        <v>1</v>
      </c>
      <c r="P13" s="739">
        <v>3</v>
      </c>
    </row>
    <row r="14" spans="1:16" x14ac:dyDescent="0.25">
      <c r="A14" s="721">
        <v>5</v>
      </c>
      <c r="B14" s="723" t="s">
        <v>11</v>
      </c>
      <c r="C14" s="724" t="s">
        <v>5</v>
      </c>
      <c r="D14" s="721">
        <v>4</v>
      </c>
      <c r="E14" s="422"/>
      <c r="F14" s="727">
        <v>7</v>
      </c>
      <c r="G14" s="729" t="s">
        <v>51</v>
      </c>
      <c r="H14" s="730" t="s">
        <v>43</v>
      </c>
      <c r="I14" s="727">
        <v>4</v>
      </c>
      <c r="K14" s="749" t="s">
        <v>174</v>
      </c>
      <c r="L14" s="752" t="s">
        <v>5</v>
      </c>
      <c r="M14" s="745">
        <v>70</v>
      </c>
      <c r="N14" s="739">
        <v>3</v>
      </c>
      <c r="O14" s="739">
        <v>0</v>
      </c>
      <c r="P14" s="739">
        <v>3</v>
      </c>
    </row>
    <row r="15" spans="1:16" x14ac:dyDescent="0.25">
      <c r="A15" s="721">
        <v>11</v>
      </c>
      <c r="B15" s="723" t="s">
        <v>153</v>
      </c>
      <c r="C15" s="724" t="s">
        <v>5</v>
      </c>
      <c r="D15" s="721">
        <v>3</v>
      </c>
      <c r="E15" s="422"/>
      <c r="F15" s="727">
        <v>7</v>
      </c>
      <c r="G15" s="737" t="s">
        <v>182</v>
      </c>
      <c r="H15" s="731" t="s">
        <v>40</v>
      </c>
      <c r="I15" s="727">
        <v>4</v>
      </c>
      <c r="K15" s="746" t="s">
        <v>27</v>
      </c>
      <c r="L15" s="751" t="s">
        <v>21</v>
      </c>
      <c r="M15" s="742">
        <v>60</v>
      </c>
      <c r="N15" s="739">
        <v>3</v>
      </c>
      <c r="O15" s="739">
        <v>0</v>
      </c>
      <c r="P15" s="739">
        <v>3</v>
      </c>
    </row>
    <row r="16" spans="1:16" x14ac:dyDescent="0.25">
      <c r="A16" s="721">
        <v>11</v>
      </c>
      <c r="B16" s="723" t="s">
        <v>15</v>
      </c>
      <c r="C16" s="724" t="s">
        <v>5</v>
      </c>
      <c r="D16" s="721">
        <v>3</v>
      </c>
      <c r="E16" s="422"/>
      <c r="F16" s="727">
        <v>7</v>
      </c>
      <c r="G16" s="729" t="s">
        <v>185</v>
      </c>
      <c r="H16" s="731" t="s">
        <v>40</v>
      </c>
      <c r="I16" s="727">
        <v>4</v>
      </c>
      <c r="K16" s="746" t="s">
        <v>38</v>
      </c>
      <c r="L16" s="751" t="s">
        <v>39</v>
      </c>
      <c r="M16" s="742">
        <v>141</v>
      </c>
      <c r="N16" s="739">
        <v>3</v>
      </c>
      <c r="O16" s="739">
        <v>0</v>
      </c>
      <c r="P16" s="739">
        <v>3</v>
      </c>
    </row>
    <row r="17" spans="1:16" x14ac:dyDescent="0.25">
      <c r="A17" s="721">
        <v>11</v>
      </c>
      <c r="B17" s="729" t="s">
        <v>50</v>
      </c>
      <c r="C17" s="730" t="s">
        <v>43</v>
      </c>
      <c r="D17" s="721">
        <v>3</v>
      </c>
      <c r="E17" s="422"/>
      <c r="F17" s="727">
        <v>7</v>
      </c>
      <c r="G17" s="729" t="s">
        <v>31</v>
      </c>
      <c r="H17" s="730" t="s">
        <v>21</v>
      </c>
      <c r="I17" s="727">
        <v>4</v>
      </c>
      <c r="K17" s="746" t="s">
        <v>177</v>
      </c>
      <c r="L17" s="751" t="s">
        <v>21</v>
      </c>
      <c r="M17" s="742">
        <v>47</v>
      </c>
      <c r="N17" s="739">
        <v>4</v>
      </c>
      <c r="O17" s="739">
        <v>1</v>
      </c>
      <c r="P17" s="739">
        <v>3</v>
      </c>
    </row>
    <row r="18" spans="1:16" x14ac:dyDescent="0.25">
      <c r="A18" s="721">
        <v>11</v>
      </c>
      <c r="B18" s="723" t="s">
        <v>169</v>
      </c>
      <c r="C18" s="724" t="s">
        <v>21</v>
      </c>
      <c r="D18" s="721">
        <v>3</v>
      </c>
      <c r="E18" s="422"/>
      <c r="F18" s="727">
        <v>7</v>
      </c>
      <c r="G18" s="728" t="s">
        <v>70</v>
      </c>
      <c r="H18" s="730" t="s">
        <v>21</v>
      </c>
      <c r="I18" s="727">
        <v>4</v>
      </c>
      <c r="K18" s="746" t="s">
        <v>169</v>
      </c>
      <c r="L18" s="751" t="s">
        <v>21</v>
      </c>
      <c r="M18" s="742">
        <v>350</v>
      </c>
      <c r="N18" s="739">
        <v>3</v>
      </c>
      <c r="O18" s="739">
        <v>0</v>
      </c>
      <c r="P18" s="739">
        <v>3</v>
      </c>
    </row>
    <row r="19" spans="1:16" x14ac:dyDescent="0.25">
      <c r="A19" s="721">
        <v>11</v>
      </c>
      <c r="B19" s="734" t="s">
        <v>193</v>
      </c>
      <c r="C19" s="724" t="s">
        <v>43</v>
      </c>
      <c r="D19" s="721">
        <v>3</v>
      </c>
      <c r="E19" s="422"/>
      <c r="F19" s="727">
        <v>7</v>
      </c>
      <c r="G19" s="729" t="s">
        <v>179</v>
      </c>
      <c r="H19" s="730" t="s">
        <v>21</v>
      </c>
      <c r="I19" s="727">
        <v>4</v>
      </c>
      <c r="K19" s="746" t="s">
        <v>50</v>
      </c>
      <c r="L19" s="751" t="s">
        <v>43</v>
      </c>
      <c r="M19" s="742">
        <v>345</v>
      </c>
      <c r="N19" s="739">
        <v>3</v>
      </c>
      <c r="O19" s="739">
        <v>0</v>
      </c>
      <c r="P19" s="739">
        <v>3</v>
      </c>
    </row>
    <row r="20" spans="1:16" x14ac:dyDescent="0.25">
      <c r="A20" s="721">
        <v>11</v>
      </c>
      <c r="B20" s="723" t="s">
        <v>51</v>
      </c>
      <c r="C20" s="724" t="s">
        <v>43</v>
      </c>
      <c r="D20" s="721">
        <v>3</v>
      </c>
      <c r="E20" s="422"/>
      <c r="F20" s="727">
        <v>16</v>
      </c>
      <c r="G20" s="728" t="s">
        <v>69</v>
      </c>
      <c r="H20" s="738" t="s">
        <v>5</v>
      </c>
      <c r="I20" s="727">
        <v>3</v>
      </c>
      <c r="K20" s="746" t="s">
        <v>153</v>
      </c>
      <c r="L20" s="751" t="s">
        <v>5</v>
      </c>
      <c r="M20" s="742">
        <v>333</v>
      </c>
      <c r="N20" s="739">
        <v>3</v>
      </c>
      <c r="O20" s="739">
        <v>1</v>
      </c>
      <c r="P20" s="739">
        <v>2</v>
      </c>
    </row>
    <row r="21" spans="1:16" x14ac:dyDescent="0.25">
      <c r="A21" s="721">
        <v>11</v>
      </c>
      <c r="B21" s="723" t="s">
        <v>38</v>
      </c>
      <c r="C21" s="724" t="s">
        <v>39</v>
      </c>
      <c r="D21" s="721">
        <v>3</v>
      </c>
      <c r="E21" s="422"/>
      <c r="F21" s="727">
        <v>16</v>
      </c>
      <c r="G21" s="729" t="s">
        <v>181</v>
      </c>
      <c r="H21" s="730" t="s">
        <v>21</v>
      </c>
      <c r="I21" s="727">
        <v>3</v>
      </c>
      <c r="K21" s="746" t="s">
        <v>10</v>
      </c>
      <c r="L21" s="751" t="s">
        <v>5</v>
      </c>
      <c r="M21" s="742" t="s">
        <v>162</v>
      </c>
      <c r="N21" s="739">
        <v>2</v>
      </c>
      <c r="O21" s="739">
        <v>0</v>
      </c>
      <c r="P21" s="739">
        <v>2</v>
      </c>
    </row>
    <row r="22" spans="1:16" x14ac:dyDescent="0.25">
      <c r="A22" s="721">
        <v>11</v>
      </c>
      <c r="B22" s="723" t="s">
        <v>27</v>
      </c>
      <c r="C22" s="724" t="s">
        <v>21</v>
      </c>
      <c r="D22" s="721">
        <v>3</v>
      </c>
      <c r="E22" s="422"/>
      <c r="F22" s="727">
        <v>16</v>
      </c>
      <c r="G22" s="729" t="s">
        <v>183</v>
      </c>
      <c r="H22" s="731" t="s">
        <v>40</v>
      </c>
      <c r="I22" s="727">
        <v>3</v>
      </c>
      <c r="K22" s="746" t="s">
        <v>13</v>
      </c>
      <c r="L22" s="751" t="s">
        <v>5</v>
      </c>
      <c r="M22" s="742">
        <v>138</v>
      </c>
      <c r="N22" s="739">
        <v>2</v>
      </c>
      <c r="O22" s="739">
        <v>0</v>
      </c>
      <c r="P22" s="739">
        <v>2</v>
      </c>
    </row>
    <row r="23" spans="1:16" x14ac:dyDescent="0.25">
      <c r="A23" s="721">
        <v>11</v>
      </c>
      <c r="B23" s="723" t="s">
        <v>14</v>
      </c>
      <c r="C23" s="724" t="s">
        <v>5</v>
      </c>
      <c r="D23" s="721">
        <v>3</v>
      </c>
      <c r="E23" s="422"/>
      <c r="F23" s="727">
        <v>16</v>
      </c>
      <c r="G23" s="729" t="s">
        <v>12</v>
      </c>
      <c r="H23" s="730" t="s">
        <v>5</v>
      </c>
      <c r="I23" s="727">
        <v>3</v>
      </c>
      <c r="K23" s="746" t="s">
        <v>176</v>
      </c>
      <c r="L23" s="751" t="s">
        <v>21</v>
      </c>
      <c r="M23" s="742">
        <v>140</v>
      </c>
      <c r="N23" s="739">
        <v>2</v>
      </c>
      <c r="O23" s="739">
        <v>0</v>
      </c>
      <c r="P23" s="739">
        <v>2</v>
      </c>
    </row>
    <row r="24" spans="1:16" x14ac:dyDescent="0.25">
      <c r="A24" s="721">
        <v>11</v>
      </c>
      <c r="B24" s="737" t="s">
        <v>174</v>
      </c>
      <c r="C24" s="731" t="s">
        <v>5</v>
      </c>
      <c r="D24" s="721">
        <v>3</v>
      </c>
      <c r="E24" s="422"/>
      <c r="F24" s="727">
        <v>16</v>
      </c>
      <c r="G24" s="733" t="s">
        <v>28</v>
      </c>
      <c r="H24" s="730" t="s">
        <v>21</v>
      </c>
      <c r="I24" s="727">
        <v>3</v>
      </c>
      <c r="K24" s="746" t="s">
        <v>178</v>
      </c>
      <c r="L24" s="751" t="s">
        <v>21</v>
      </c>
      <c r="M24" s="742">
        <v>115</v>
      </c>
      <c r="N24" s="739">
        <v>2</v>
      </c>
      <c r="O24" s="739">
        <v>0</v>
      </c>
      <c r="P24" s="739">
        <v>2</v>
      </c>
    </row>
    <row r="25" spans="1:16" x14ac:dyDescent="0.25">
      <c r="A25" s="721">
        <v>11</v>
      </c>
      <c r="B25" s="723" t="s">
        <v>44</v>
      </c>
      <c r="C25" s="724" t="s">
        <v>43</v>
      </c>
      <c r="D25" s="721">
        <v>3</v>
      </c>
      <c r="E25" s="422"/>
      <c r="F25" s="727">
        <v>16</v>
      </c>
      <c r="G25" s="737" t="s">
        <v>188</v>
      </c>
      <c r="H25" s="731" t="s">
        <v>40</v>
      </c>
      <c r="I25" s="727">
        <v>3</v>
      </c>
      <c r="K25" s="746" t="s">
        <v>189</v>
      </c>
      <c r="L25" s="752" t="s">
        <v>40</v>
      </c>
      <c r="M25" s="744">
        <v>125</v>
      </c>
      <c r="N25" s="739">
        <v>2</v>
      </c>
      <c r="O25" s="739">
        <v>0</v>
      </c>
      <c r="P25" s="739">
        <v>2</v>
      </c>
    </row>
    <row r="26" spans="1:16" x14ac:dyDescent="0.25">
      <c r="A26" s="721">
        <v>11</v>
      </c>
      <c r="B26" s="729" t="s">
        <v>192</v>
      </c>
      <c r="C26" s="724" t="s">
        <v>43</v>
      </c>
      <c r="D26" s="721">
        <v>3</v>
      </c>
      <c r="E26" s="422"/>
      <c r="F26" s="727">
        <v>16</v>
      </c>
      <c r="G26" s="729" t="s">
        <v>180</v>
      </c>
      <c r="H26" s="730" t="s">
        <v>21</v>
      </c>
      <c r="I26" s="727">
        <v>3</v>
      </c>
      <c r="K26" s="746" t="s">
        <v>192</v>
      </c>
      <c r="L26" s="751" t="s">
        <v>43</v>
      </c>
      <c r="M26" s="742">
        <v>96</v>
      </c>
      <c r="N26" s="739">
        <v>3</v>
      </c>
      <c r="O26" s="739">
        <v>1</v>
      </c>
      <c r="P26" s="739">
        <v>2</v>
      </c>
    </row>
    <row r="27" spans="1:16" x14ac:dyDescent="0.25">
      <c r="A27" s="721">
        <v>11</v>
      </c>
      <c r="B27" s="723" t="s">
        <v>179</v>
      </c>
      <c r="C27" s="724" t="s">
        <v>21</v>
      </c>
      <c r="D27" s="721">
        <v>3</v>
      </c>
      <c r="E27" s="422"/>
      <c r="F27" s="727">
        <v>16</v>
      </c>
      <c r="G27" s="729" t="s">
        <v>26</v>
      </c>
      <c r="H27" s="730" t="s">
        <v>21</v>
      </c>
      <c r="I27" s="727">
        <v>3</v>
      </c>
      <c r="K27" s="750" t="s">
        <v>193</v>
      </c>
      <c r="L27" s="751" t="s">
        <v>43</v>
      </c>
      <c r="M27" s="742">
        <v>351</v>
      </c>
      <c r="N27" s="739">
        <v>3</v>
      </c>
      <c r="O27" s="739">
        <v>1</v>
      </c>
      <c r="P27" s="739">
        <v>2</v>
      </c>
    </row>
    <row r="28" spans="1:16" x14ac:dyDescent="0.25">
      <c r="A28" s="721">
        <v>11</v>
      </c>
      <c r="B28" s="723" t="s">
        <v>8</v>
      </c>
      <c r="C28" s="724" t="s">
        <v>5</v>
      </c>
      <c r="D28" s="721">
        <v>3</v>
      </c>
      <c r="E28" s="422"/>
      <c r="F28" s="727">
        <v>24</v>
      </c>
      <c r="G28" s="729" t="s">
        <v>191</v>
      </c>
      <c r="H28" s="730" t="s">
        <v>43</v>
      </c>
      <c r="I28" s="727">
        <v>2</v>
      </c>
      <c r="K28" s="746" t="s">
        <v>48</v>
      </c>
      <c r="L28" s="751" t="s">
        <v>43</v>
      </c>
      <c r="M28" s="742">
        <v>56</v>
      </c>
      <c r="N28" s="739">
        <v>4</v>
      </c>
      <c r="O28" s="739">
        <v>2</v>
      </c>
      <c r="P28" s="739">
        <v>2</v>
      </c>
    </row>
    <row r="29" spans="1:16" x14ac:dyDescent="0.25">
      <c r="A29" s="721">
        <v>11</v>
      </c>
      <c r="B29" s="723" t="s">
        <v>66</v>
      </c>
      <c r="C29" s="724" t="s">
        <v>67</v>
      </c>
      <c r="D29" s="721">
        <v>3</v>
      </c>
      <c r="E29" s="422"/>
      <c r="F29" s="727">
        <v>24</v>
      </c>
      <c r="G29" s="729" t="s">
        <v>15</v>
      </c>
      <c r="H29" s="730" t="s">
        <v>5</v>
      </c>
      <c r="I29" s="727">
        <v>2</v>
      </c>
      <c r="K29" s="746" t="s">
        <v>44</v>
      </c>
      <c r="L29" s="751" t="s">
        <v>43</v>
      </c>
      <c r="M29" s="742">
        <v>93</v>
      </c>
      <c r="N29" s="739">
        <v>3</v>
      </c>
      <c r="O29" s="739">
        <v>1</v>
      </c>
      <c r="P29" s="739">
        <v>2</v>
      </c>
    </row>
    <row r="30" spans="1:16" x14ac:dyDescent="0.25">
      <c r="A30" s="721">
        <v>26</v>
      </c>
      <c r="B30" s="723" t="s">
        <v>191</v>
      </c>
      <c r="C30" s="724" t="s">
        <v>43</v>
      </c>
      <c r="D30" s="721">
        <v>2</v>
      </c>
      <c r="E30" s="422"/>
      <c r="F30" s="727">
        <v>24</v>
      </c>
      <c r="G30" s="729" t="s">
        <v>24</v>
      </c>
      <c r="H30" s="730" t="s">
        <v>21</v>
      </c>
      <c r="I30" s="727">
        <v>2</v>
      </c>
      <c r="K30" s="746" t="s">
        <v>15</v>
      </c>
      <c r="L30" s="751" t="s">
        <v>5</v>
      </c>
      <c r="M30" s="742">
        <v>334</v>
      </c>
      <c r="N30" s="739">
        <v>3</v>
      </c>
      <c r="O30" s="739">
        <v>2</v>
      </c>
      <c r="P30" s="739">
        <v>1</v>
      </c>
    </row>
    <row r="31" spans="1:16" x14ac:dyDescent="0.25">
      <c r="A31" s="721">
        <v>26</v>
      </c>
      <c r="B31" s="723" t="s">
        <v>29</v>
      </c>
      <c r="C31" s="724" t="s">
        <v>21</v>
      </c>
      <c r="D31" s="721">
        <v>2</v>
      </c>
      <c r="E31" s="422"/>
      <c r="F31" s="727">
        <v>24</v>
      </c>
      <c r="G31" s="729" t="s">
        <v>22</v>
      </c>
      <c r="H31" s="730" t="s">
        <v>167</v>
      </c>
      <c r="I31" s="727">
        <v>2</v>
      </c>
      <c r="K31" s="740" t="s">
        <v>69</v>
      </c>
      <c r="L31" s="741" t="s">
        <v>5</v>
      </c>
      <c r="M31" s="742">
        <v>474</v>
      </c>
      <c r="N31" s="739">
        <v>4</v>
      </c>
      <c r="O31" s="739">
        <v>3</v>
      </c>
      <c r="P31" s="739">
        <v>1</v>
      </c>
    </row>
    <row r="32" spans="1:16" x14ac:dyDescent="0.25">
      <c r="A32" s="721">
        <v>26</v>
      </c>
      <c r="B32" s="723" t="s">
        <v>24</v>
      </c>
      <c r="C32" s="724" t="s">
        <v>21</v>
      </c>
      <c r="D32" s="721">
        <v>2</v>
      </c>
      <c r="E32" s="422"/>
      <c r="F32" s="727">
        <v>24</v>
      </c>
      <c r="G32" s="729" t="s">
        <v>41</v>
      </c>
      <c r="H32" s="731" t="s">
        <v>40</v>
      </c>
      <c r="I32" s="727">
        <v>2</v>
      </c>
      <c r="K32" s="746" t="s">
        <v>14</v>
      </c>
      <c r="L32" s="751" t="s">
        <v>5</v>
      </c>
      <c r="M32" s="742">
        <v>68</v>
      </c>
      <c r="N32" s="739">
        <v>3</v>
      </c>
      <c r="O32" s="739">
        <v>2</v>
      </c>
      <c r="P32" s="739">
        <v>1</v>
      </c>
    </row>
    <row r="33" spans="1:16" x14ac:dyDescent="0.25">
      <c r="A33" s="721">
        <v>26</v>
      </c>
      <c r="B33" s="723" t="s">
        <v>175</v>
      </c>
      <c r="C33" s="724" t="s">
        <v>21</v>
      </c>
      <c r="D33" s="721">
        <v>2</v>
      </c>
      <c r="E33" s="422"/>
      <c r="F33" s="727">
        <v>24</v>
      </c>
      <c r="G33" s="729" t="s">
        <v>48</v>
      </c>
      <c r="H33" s="730" t="s">
        <v>43</v>
      </c>
      <c r="I33" s="727">
        <v>2</v>
      </c>
      <c r="K33" s="746" t="s">
        <v>17</v>
      </c>
      <c r="L33" s="751" t="s">
        <v>18</v>
      </c>
      <c r="M33" s="742">
        <v>348</v>
      </c>
      <c r="N33" s="739">
        <v>2</v>
      </c>
      <c r="O33" s="739">
        <v>1</v>
      </c>
      <c r="P33" s="739">
        <v>1</v>
      </c>
    </row>
    <row r="34" spans="1:16" x14ac:dyDescent="0.25">
      <c r="A34" s="721">
        <v>26</v>
      </c>
      <c r="B34" s="723" t="s">
        <v>17</v>
      </c>
      <c r="C34" s="724" t="s">
        <v>18</v>
      </c>
      <c r="D34" s="721">
        <v>2</v>
      </c>
      <c r="E34" s="422"/>
      <c r="F34" s="727">
        <v>24</v>
      </c>
      <c r="G34" s="729" t="s">
        <v>173</v>
      </c>
      <c r="H34" s="731" t="s">
        <v>5</v>
      </c>
      <c r="I34" s="727">
        <v>2</v>
      </c>
      <c r="K34" s="746" t="s">
        <v>29</v>
      </c>
      <c r="L34" s="751" t="s">
        <v>21</v>
      </c>
      <c r="M34" s="742">
        <v>336</v>
      </c>
      <c r="N34" s="739">
        <v>2</v>
      </c>
      <c r="O34" s="739">
        <v>1</v>
      </c>
      <c r="P34" s="739">
        <v>1</v>
      </c>
    </row>
    <row r="35" spans="1:16" x14ac:dyDescent="0.25">
      <c r="A35" s="721">
        <v>26</v>
      </c>
      <c r="B35" s="723" t="s">
        <v>181</v>
      </c>
      <c r="C35" s="724" t="s">
        <v>21</v>
      </c>
      <c r="D35" s="721">
        <v>2</v>
      </c>
      <c r="E35" s="422"/>
      <c r="F35" s="727">
        <v>24</v>
      </c>
      <c r="G35" s="729" t="s">
        <v>14</v>
      </c>
      <c r="H35" s="730" t="s">
        <v>5</v>
      </c>
      <c r="I35" s="727">
        <v>2</v>
      </c>
      <c r="K35" s="746" t="s">
        <v>175</v>
      </c>
      <c r="L35" s="751" t="s">
        <v>21</v>
      </c>
      <c r="M35" s="742">
        <v>346</v>
      </c>
      <c r="N35" s="739">
        <v>2</v>
      </c>
      <c r="O35" s="739">
        <v>1</v>
      </c>
      <c r="P35" s="739">
        <v>1</v>
      </c>
    </row>
    <row r="36" spans="1:16" x14ac:dyDescent="0.25">
      <c r="A36" s="721">
        <v>26</v>
      </c>
      <c r="B36" s="737" t="s">
        <v>182</v>
      </c>
      <c r="C36" s="731" t="s">
        <v>40</v>
      </c>
      <c r="D36" s="721">
        <v>2</v>
      </c>
      <c r="E36" s="422"/>
      <c r="F36" s="727">
        <v>24</v>
      </c>
      <c r="G36" s="729" t="s">
        <v>36</v>
      </c>
      <c r="H36" s="730" t="s">
        <v>21</v>
      </c>
      <c r="I36" s="727">
        <v>2</v>
      </c>
      <c r="K36" s="746" t="s">
        <v>152</v>
      </c>
      <c r="L36" s="751" t="s">
        <v>21</v>
      </c>
      <c r="M36" s="742" t="s">
        <v>158</v>
      </c>
      <c r="N36" s="739">
        <v>2</v>
      </c>
      <c r="O36" s="739">
        <v>1</v>
      </c>
      <c r="P36" s="739">
        <v>1</v>
      </c>
    </row>
    <row r="37" spans="1:16" x14ac:dyDescent="0.25">
      <c r="A37" s="721">
        <v>26</v>
      </c>
      <c r="B37" s="723" t="s">
        <v>183</v>
      </c>
      <c r="C37" s="731" t="s">
        <v>40</v>
      </c>
      <c r="D37" s="721">
        <v>2</v>
      </c>
      <c r="E37" s="422"/>
      <c r="F37" s="727">
        <v>24</v>
      </c>
      <c r="G37" s="729" t="s">
        <v>184</v>
      </c>
      <c r="H37" s="731" t="s">
        <v>40</v>
      </c>
      <c r="I37" s="727">
        <v>2</v>
      </c>
      <c r="K37" s="746" t="s">
        <v>186</v>
      </c>
      <c r="L37" s="752" t="s">
        <v>40</v>
      </c>
      <c r="M37" s="742">
        <v>98</v>
      </c>
      <c r="N37" s="739">
        <v>2</v>
      </c>
      <c r="O37" s="739">
        <v>1</v>
      </c>
      <c r="P37" s="739">
        <v>1</v>
      </c>
    </row>
    <row r="38" spans="1:16" x14ac:dyDescent="0.25">
      <c r="A38" s="721">
        <v>26</v>
      </c>
      <c r="B38" s="729" t="s">
        <v>184</v>
      </c>
      <c r="C38" s="731" t="s">
        <v>40</v>
      </c>
      <c r="D38" s="721">
        <v>2</v>
      </c>
      <c r="E38" s="422"/>
      <c r="F38" s="727">
        <v>24</v>
      </c>
      <c r="G38" s="729" t="s">
        <v>30</v>
      </c>
      <c r="H38" s="730" t="s">
        <v>21</v>
      </c>
      <c r="I38" s="727">
        <v>2</v>
      </c>
      <c r="K38" s="746" t="s">
        <v>46</v>
      </c>
      <c r="L38" s="751" t="s">
        <v>43</v>
      </c>
      <c r="M38" s="742">
        <v>83</v>
      </c>
      <c r="N38" s="739">
        <v>2</v>
      </c>
      <c r="O38" s="739">
        <v>1</v>
      </c>
      <c r="P38" s="739">
        <v>1</v>
      </c>
    </row>
    <row r="39" spans="1:16" x14ac:dyDescent="0.25">
      <c r="A39" s="721">
        <v>26</v>
      </c>
      <c r="B39" s="723" t="s">
        <v>10</v>
      </c>
      <c r="C39" s="724" t="s">
        <v>5</v>
      </c>
      <c r="D39" s="721">
        <v>2</v>
      </c>
      <c r="E39" s="422"/>
      <c r="F39" s="727">
        <v>24</v>
      </c>
      <c r="G39" s="729" t="s">
        <v>59</v>
      </c>
      <c r="H39" s="730" t="s">
        <v>60</v>
      </c>
      <c r="I39" s="727">
        <v>2</v>
      </c>
      <c r="K39" s="746" t="s">
        <v>55</v>
      </c>
      <c r="L39" s="751" t="s">
        <v>56</v>
      </c>
      <c r="M39" s="742">
        <v>92</v>
      </c>
      <c r="N39" s="739">
        <v>2</v>
      </c>
      <c r="O39" s="739">
        <v>1</v>
      </c>
      <c r="P39" s="739">
        <v>1</v>
      </c>
    </row>
    <row r="40" spans="1:16" x14ac:dyDescent="0.25">
      <c r="A40" s="721">
        <v>26</v>
      </c>
      <c r="B40" s="723" t="s">
        <v>46</v>
      </c>
      <c r="C40" s="724" t="s">
        <v>43</v>
      </c>
      <c r="D40" s="721">
        <v>2</v>
      </c>
      <c r="E40" s="422"/>
      <c r="F40" s="727">
        <v>24</v>
      </c>
      <c r="G40" s="729" t="s">
        <v>25</v>
      </c>
      <c r="H40" s="730" t="s">
        <v>21</v>
      </c>
      <c r="I40" s="727">
        <v>2</v>
      </c>
      <c r="K40" s="746" t="s">
        <v>64</v>
      </c>
      <c r="L40" s="751" t="s">
        <v>63</v>
      </c>
      <c r="M40" s="742">
        <v>120</v>
      </c>
      <c r="N40" s="739">
        <v>1</v>
      </c>
      <c r="O40" s="739">
        <v>0</v>
      </c>
      <c r="P40" s="739">
        <v>1</v>
      </c>
    </row>
    <row r="41" spans="1:16" x14ac:dyDescent="0.25">
      <c r="A41" s="721">
        <v>26</v>
      </c>
      <c r="B41" s="723" t="s">
        <v>55</v>
      </c>
      <c r="C41" s="724" t="s">
        <v>56</v>
      </c>
      <c r="D41" s="721">
        <v>2</v>
      </c>
      <c r="E41" s="422"/>
      <c r="F41" s="727">
        <v>37</v>
      </c>
      <c r="G41" s="729" t="s">
        <v>154</v>
      </c>
      <c r="H41" s="730" t="s">
        <v>172</v>
      </c>
      <c r="I41" s="727">
        <v>1</v>
      </c>
      <c r="K41" s="746" t="s">
        <v>154</v>
      </c>
      <c r="L41" s="751" t="s">
        <v>172</v>
      </c>
      <c r="M41" s="742">
        <v>332</v>
      </c>
      <c r="N41" s="739">
        <v>1</v>
      </c>
      <c r="O41" s="739">
        <v>1</v>
      </c>
      <c r="P41" s="739">
        <v>0</v>
      </c>
    </row>
    <row r="42" spans="1:16" x14ac:dyDescent="0.25">
      <c r="A42" s="721">
        <v>26</v>
      </c>
      <c r="B42" s="733" t="s">
        <v>28</v>
      </c>
      <c r="C42" s="724" t="s">
        <v>21</v>
      </c>
      <c r="D42" s="721">
        <v>2</v>
      </c>
      <c r="E42" s="422"/>
      <c r="F42" s="727">
        <v>37</v>
      </c>
      <c r="G42" s="729" t="s">
        <v>153</v>
      </c>
      <c r="H42" s="730" t="s">
        <v>5</v>
      </c>
      <c r="I42" s="727">
        <v>1</v>
      </c>
      <c r="K42" s="746" t="s">
        <v>24</v>
      </c>
      <c r="L42" s="751" t="s">
        <v>21</v>
      </c>
      <c r="M42" s="742">
        <v>342</v>
      </c>
      <c r="N42" s="739">
        <v>2</v>
      </c>
      <c r="O42" s="739">
        <v>2</v>
      </c>
      <c r="P42" s="739">
        <v>0</v>
      </c>
    </row>
    <row r="43" spans="1:16" x14ac:dyDescent="0.25">
      <c r="A43" s="721">
        <v>26</v>
      </c>
      <c r="B43" s="723" t="s">
        <v>186</v>
      </c>
      <c r="C43" s="731" t="s">
        <v>40</v>
      </c>
      <c r="D43" s="721">
        <v>2</v>
      </c>
      <c r="E43" s="422"/>
      <c r="F43" s="727">
        <v>37</v>
      </c>
      <c r="G43" s="729" t="s">
        <v>29</v>
      </c>
      <c r="H43" s="730" t="s">
        <v>21</v>
      </c>
      <c r="I43" s="727">
        <v>1</v>
      </c>
      <c r="K43" s="746" t="s">
        <v>19</v>
      </c>
      <c r="L43" s="751" t="s">
        <v>18</v>
      </c>
      <c r="M43" s="742">
        <v>53</v>
      </c>
      <c r="N43" s="739">
        <v>1</v>
      </c>
      <c r="O43" s="739">
        <v>1</v>
      </c>
      <c r="P43" s="739">
        <v>0</v>
      </c>
    </row>
    <row r="44" spans="1:16" x14ac:dyDescent="0.25">
      <c r="A44" s="721">
        <v>26</v>
      </c>
      <c r="B44" s="729" t="s">
        <v>45</v>
      </c>
      <c r="C44" s="730" t="s">
        <v>43</v>
      </c>
      <c r="D44" s="721">
        <v>2</v>
      </c>
      <c r="E44" s="422"/>
      <c r="F44" s="727">
        <v>37</v>
      </c>
      <c r="G44" s="729" t="s">
        <v>175</v>
      </c>
      <c r="H44" s="730" t="s">
        <v>21</v>
      </c>
      <c r="I44" s="727">
        <v>1</v>
      </c>
      <c r="K44" s="746" t="s">
        <v>32</v>
      </c>
      <c r="L44" s="751" t="s">
        <v>21</v>
      </c>
      <c r="M44" s="742">
        <v>90</v>
      </c>
      <c r="N44" s="739">
        <v>1</v>
      </c>
      <c r="O44" s="739">
        <v>1</v>
      </c>
      <c r="P44" s="739">
        <v>0</v>
      </c>
    </row>
    <row r="45" spans="1:16" x14ac:dyDescent="0.25">
      <c r="A45" s="721">
        <v>26</v>
      </c>
      <c r="B45" s="723" t="s">
        <v>59</v>
      </c>
      <c r="C45" s="730" t="s">
        <v>60</v>
      </c>
      <c r="D45" s="721">
        <v>2</v>
      </c>
      <c r="E45" s="422"/>
      <c r="F45" s="727">
        <v>37</v>
      </c>
      <c r="G45" s="729" t="s">
        <v>17</v>
      </c>
      <c r="H45" s="730" t="s">
        <v>18</v>
      </c>
      <c r="I45" s="727">
        <v>1</v>
      </c>
      <c r="K45" s="746" t="s">
        <v>25</v>
      </c>
      <c r="L45" s="751" t="s">
        <v>21</v>
      </c>
      <c r="M45" s="742">
        <v>110</v>
      </c>
      <c r="N45" s="739">
        <v>2</v>
      </c>
      <c r="O45" s="739">
        <v>2</v>
      </c>
      <c r="P45" s="739">
        <v>0</v>
      </c>
    </row>
    <row r="46" spans="1:16" x14ac:dyDescent="0.25">
      <c r="A46" s="721">
        <v>26</v>
      </c>
      <c r="B46" s="736" t="s">
        <v>25</v>
      </c>
      <c r="C46" s="735" t="s">
        <v>21</v>
      </c>
      <c r="D46" s="721">
        <v>2</v>
      </c>
      <c r="E46" s="422"/>
      <c r="F46" s="727">
        <v>37</v>
      </c>
      <c r="G46" s="667" t="s">
        <v>193</v>
      </c>
      <c r="H46" s="735" t="s">
        <v>43</v>
      </c>
      <c r="I46" s="727">
        <v>1</v>
      </c>
      <c r="K46" s="748" t="s">
        <v>184</v>
      </c>
      <c r="L46" s="732" t="s">
        <v>40</v>
      </c>
      <c r="M46" s="743">
        <v>80</v>
      </c>
      <c r="N46" s="739">
        <v>2</v>
      </c>
      <c r="O46" s="739">
        <v>2</v>
      </c>
      <c r="P46" s="739">
        <v>0</v>
      </c>
    </row>
    <row r="47" spans="1:16" x14ac:dyDescent="0.25">
      <c r="A47" s="721">
        <v>26</v>
      </c>
      <c r="B47" s="723" t="s">
        <v>178</v>
      </c>
      <c r="C47" s="730" t="s">
        <v>21</v>
      </c>
      <c r="D47" s="721">
        <v>2</v>
      </c>
      <c r="E47" s="422"/>
      <c r="F47" s="727">
        <v>37</v>
      </c>
      <c r="G47" s="729" t="s">
        <v>177</v>
      </c>
      <c r="H47" s="730" t="s">
        <v>21</v>
      </c>
      <c r="I47" s="727">
        <v>1</v>
      </c>
      <c r="K47" s="746" t="s">
        <v>191</v>
      </c>
      <c r="L47" s="751" t="s">
        <v>43</v>
      </c>
      <c r="M47" s="742">
        <v>331</v>
      </c>
      <c r="N47" s="739">
        <v>2</v>
      </c>
      <c r="O47" s="739">
        <v>2</v>
      </c>
      <c r="P47" s="739">
        <v>0</v>
      </c>
    </row>
    <row r="48" spans="1:16" x14ac:dyDescent="0.25">
      <c r="A48" s="721">
        <v>26</v>
      </c>
      <c r="B48" s="723" t="s">
        <v>152</v>
      </c>
      <c r="C48" s="730" t="s">
        <v>21</v>
      </c>
      <c r="D48" s="721">
        <v>2</v>
      </c>
      <c r="E48" s="422"/>
      <c r="F48" s="727">
        <v>37</v>
      </c>
      <c r="G48" s="729" t="s">
        <v>19</v>
      </c>
      <c r="H48" s="730" t="s">
        <v>18</v>
      </c>
      <c r="I48" s="727">
        <v>1</v>
      </c>
      <c r="K48" s="746" t="s">
        <v>195</v>
      </c>
      <c r="L48" s="751" t="s">
        <v>52</v>
      </c>
      <c r="M48" s="742">
        <v>101</v>
      </c>
      <c r="N48" s="739">
        <v>0</v>
      </c>
      <c r="O48" s="739">
        <v>0</v>
      </c>
      <c r="P48" s="739">
        <v>0</v>
      </c>
    </row>
    <row r="49" spans="1:16" x14ac:dyDescent="0.25">
      <c r="A49" s="721">
        <v>26</v>
      </c>
      <c r="B49" s="723" t="s">
        <v>189</v>
      </c>
      <c r="C49" s="731" t="s">
        <v>40</v>
      </c>
      <c r="D49" s="721">
        <v>2</v>
      </c>
      <c r="E49" s="422"/>
      <c r="F49" s="727">
        <v>37</v>
      </c>
      <c r="G49" s="729" t="s">
        <v>16</v>
      </c>
      <c r="H49" s="730" t="s">
        <v>5</v>
      </c>
      <c r="I49" s="727">
        <v>1</v>
      </c>
      <c r="K49" s="746" t="s">
        <v>59</v>
      </c>
      <c r="L49" s="751" t="s">
        <v>60</v>
      </c>
      <c r="M49" s="742">
        <v>105</v>
      </c>
      <c r="N49" s="739">
        <v>2</v>
      </c>
      <c r="O49" s="739">
        <v>2</v>
      </c>
      <c r="P49" s="739">
        <v>0</v>
      </c>
    </row>
    <row r="50" spans="1:16" x14ac:dyDescent="0.25">
      <c r="A50" s="721">
        <v>26</v>
      </c>
      <c r="B50" s="723" t="s">
        <v>180</v>
      </c>
      <c r="C50" s="724" t="s">
        <v>21</v>
      </c>
      <c r="D50" s="721">
        <v>2</v>
      </c>
      <c r="E50" s="422"/>
      <c r="F50" s="727">
        <v>37</v>
      </c>
      <c r="G50" s="729" t="s">
        <v>33</v>
      </c>
      <c r="H50" s="730" t="s">
        <v>21</v>
      </c>
      <c r="I50" s="727">
        <v>1</v>
      </c>
      <c r="K50" s="746" t="s">
        <v>65</v>
      </c>
      <c r="L50" s="751" t="s">
        <v>63</v>
      </c>
      <c r="M50" s="742">
        <v>79</v>
      </c>
      <c r="N50" s="739">
        <v>1</v>
      </c>
      <c r="O50" s="739">
        <v>1</v>
      </c>
      <c r="P50" s="739">
        <v>0</v>
      </c>
    </row>
    <row r="51" spans="1:16" x14ac:dyDescent="0.25">
      <c r="A51" s="721">
        <v>26</v>
      </c>
      <c r="B51" s="723" t="s">
        <v>26</v>
      </c>
      <c r="C51" s="724" t="s">
        <v>21</v>
      </c>
      <c r="D51" s="721">
        <v>2</v>
      </c>
      <c r="E51" s="422"/>
      <c r="F51" s="727">
        <v>37</v>
      </c>
      <c r="G51" s="729" t="s">
        <v>65</v>
      </c>
      <c r="H51" s="730" t="s">
        <v>63</v>
      </c>
      <c r="I51" s="727">
        <v>1</v>
      </c>
      <c r="K51" s="746" t="s">
        <v>173</v>
      </c>
      <c r="L51" s="752" t="s">
        <v>5</v>
      </c>
      <c r="M51" s="742">
        <v>66</v>
      </c>
      <c r="N51" s="739">
        <v>1</v>
      </c>
      <c r="O51" s="739">
        <v>2</v>
      </c>
      <c r="P51" s="739">
        <v>-1</v>
      </c>
    </row>
    <row r="52" spans="1:16" x14ac:dyDescent="0.25">
      <c r="A52" s="721">
        <v>26</v>
      </c>
      <c r="B52" s="723" t="s">
        <v>13</v>
      </c>
      <c r="C52" s="724" t="s">
        <v>5</v>
      </c>
      <c r="D52" s="721">
        <v>2</v>
      </c>
      <c r="E52" s="422"/>
      <c r="F52" s="727">
        <v>37</v>
      </c>
      <c r="G52" s="729" t="s">
        <v>46</v>
      </c>
      <c r="H52" s="730" t="s">
        <v>43</v>
      </c>
      <c r="I52" s="727">
        <v>1</v>
      </c>
      <c r="K52" s="746" t="s">
        <v>9</v>
      </c>
      <c r="L52" s="751" t="s">
        <v>5</v>
      </c>
      <c r="M52" s="742">
        <v>99</v>
      </c>
      <c r="N52" s="739">
        <v>0</v>
      </c>
      <c r="O52" s="739">
        <v>1</v>
      </c>
      <c r="P52" s="739">
        <v>-1</v>
      </c>
    </row>
    <row r="53" spans="1:16" x14ac:dyDescent="0.25">
      <c r="A53" s="721">
        <v>26</v>
      </c>
      <c r="B53" s="723" t="s">
        <v>176</v>
      </c>
      <c r="C53" s="724" t="s">
        <v>21</v>
      </c>
      <c r="D53" s="721">
        <v>2</v>
      </c>
      <c r="E53" s="422"/>
      <c r="F53" s="727">
        <v>37</v>
      </c>
      <c r="G53" s="729" t="s">
        <v>32</v>
      </c>
      <c r="H53" s="730" t="s">
        <v>21</v>
      </c>
      <c r="I53" s="727">
        <v>1</v>
      </c>
      <c r="K53" s="746" t="s">
        <v>33</v>
      </c>
      <c r="L53" s="751" t="s">
        <v>21</v>
      </c>
      <c r="M53" s="742">
        <v>74</v>
      </c>
      <c r="N53" s="739">
        <v>0</v>
      </c>
      <c r="O53" s="739">
        <v>1</v>
      </c>
      <c r="P53" s="739">
        <v>-1</v>
      </c>
    </row>
    <row r="54" spans="1:16" x14ac:dyDescent="0.25">
      <c r="A54" s="721">
        <v>50</v>
      </c>
      <c r="B54" s="723" t="s">
        <v>154</v>
      </c>
      <c r="C54" s="724" t="s">
        <v>172</v>
      </c>
      <c r="D54" s="721">
        <v>1</v>
      </c>
      <c r="E54" s="422"/>
      <c r="F54" s="727">
        <v>37</v>
      </c>
      <c r="G54" s="729" t="s">
        <v>55</v>
      </c>
      <c r="H54" s="730" t="s">
        <v>56</v>
      </c>
      <c r="I54" s="727">
        <v>1</v>
      </c>
      <c r="K54" s="746" t="s">
        <v>179</v>
      </c>
      <c r="L54" s="751" t="s">
        <v>21</v>
      </c>
      <c r="M54" s="742">
        <v>123</v>
      </c>
      <c r="N54" s="739">
        <v>3</v>
      </c>
      <c r="O54" s="739">
        <v>4</v>
      </c>
      <c r="P54" s="739">
        <v>-1</v>
      </c>
    </row>
    <row r="55" spans="1:16" x14ac:dyDescent="0.25">
      <c r="A55" s="721">
        <v>50</v>
      </c>
      <c r="B55" s="723" t="s">
        <v>4</v>
      </c>
      <c r="C55" s="724" t="s">
        <v>5</v>
      </c>
      <c r="D55" s="721">
        <v>1</v>
      </c>
      <c r="E55" s="422"/>
      <c r="F55" s="727">
        <v>37</v>
      </c>
      <c r="G55" s="729" t="s">
        <v>44</v>
      </c>
      <c r="H55" s="730" t="s">
        <v>43</v>
      </c>
      <c r="I55" s="727">
        <v>1</v>
      </c>
      <c r="K55" s="746" t="s">
        <v>30</v>
      </c>
      <c r="L55" s="751" t="s">
        <v>21</v>
      </c>
      <c r="M55" s="742">
        <v>81</v>
      </c>
      <c r="N55" s="739">
        <v>1</v>
      </c>
      <c r="O55" s="739">
        <v>2</v>
      </c>
      <c r="P55" s="739">
        <v>-1</v>
      </c>
    </row>
    <row r="56" spans="1:16" x14ac:dyDescent="0.25">
      <c r="A56" s="721">
        <v>50</v>
      </c>
      <c r="B56" s="728" t="s">
        <v>72</v>
      </c>
      <c r="C56" s="730" t="s">
        <v>52</v>
      </c>
      <c r="D56" s="721">
        <v>1</v>
      </c>
      <c r="E56" s="422"/>
      <c r="F56" s="727">
        <v>37</v>
      </c>
      <c r="G56" s="729" t="s">
        <v>192</v>
      </c>
      <c r="H56" s="730" t="s">
        <v>43</v>
      </c>
      <c r="I56" s="727">
        <v>1</v>
      </c>
      <c r="K56" s="747" t="s">
        <v>28</v>
      </c>
      <c r="L56" s="751" t="s">
        <v>21</v>
      </c>
      <c r="M56" s="742">
        <v>94</v>
      </c>
      <c r="N56" s="739">
        <v>2</v>
      </c>
      <c r="O56" s="739">
        <v>3</v>
      </c>
      <c r="P56" s="739">
        <v>-1</v>
      </c>
    </row>
    <row r="57" spans="1:16" x14ac:dyDescent="0.25">
      <c r="A57" s="721">
        <v>50</v>
      </c>
      <c r="B57" s="728" t="s">
        <v>71</v>
      </c>
      <c r="C57" s="724" t="s">
        <v>21</v>
      </c>
      <c r="D57" s="721">
        <v>1</v>
      </c>
      <c r="E57" s="422"/>
      <c r="F57" s="727">
        <v>37</v>
      </c>
      <c r="G57" s="729" t="s">
        <v>186</v>
      </c>
      <c r="H57" s="731" t="s">
        <v>40</v>
      </c>
      <c r="I57" s="727">
        <v>1</v>
      </c>
      <c r="K57" s="746" t="s">
        <v>180</v>
      </c>
      <c r="L57" s="751" t="s">
        <v>21</v>
      </c>
      <c r="M57" s="742">
        <v>128</v>
      </c>
      <c r="N57" s="739">
        <v>2</v>
      </c>
      <c r="O57" s="739">
        <v>3</v>
      </c>
      <c r="P57" s="739">
        <v>-1</v>
      </c>
    </row>
    <row r="58" spans="1:16" x14ac:dyDescent="0.25">
      <c r="A58" s="721">
        <v>50</v>
      </c>
      <c r="B58" s="734" t="s">
        <v>194</v>
      </c>
      <c r="C58" s="724" t="s">
        <v>43</v>
      </c>
      <c r="D58" s="721">
        <v>1</v>
      </c>
      <c r="E58" s="422"/>
      <c r="F58" s="727">
        <v>37</v>
      </c>
      <c r="G58" s="729" t="s">
        <v>9</v>
      </c>
      <c r="H58" s="730" t="s">
        <v>5</v>
      </c>
      <c r="I58" s="727">
        <v>1</v>
      </c>
      <c r="K58" s="746" t="s">
        <v>181</v>
      </c>
      <c r="L58" s="751" t="s">
        <v>21</v>
      </c>
      <c r="M58" s="742">
        <v>443</v>
      </c>
      <c r="N58" s="739">
        <v>2</v>
      </c>
      <c r="O58" s="739">
        <v>3</v>
      </c>
      <c r="P58" s="739">
        <v>-1</v>
      </c>
    </row>
    <row r="59" spans="1:16" x14ac:dyDescent="0.25">
      <c r="A59" s="721">
        <v>50</v>
      </c>
      <c r="B59" s="723" t="s">
        <v>22</v>
      </c>
      <c r="C59" s="724" t="s">
        <v>167</v>
      </c>
      <c r="D59" s="721">
        <v>1</v>
      </c>
      <c r="E59" s="422"/>
      <c r="F59" s="727">
        <v>37</v>
      </c>
      <c r="G59" s="729" t="s">
        <v>61</v>
      </c>
      <c r="H59" s="730" t="s">
        <v>62</v>
      </c>
      <c r="I59" s="727">
        <v>1</v>
      </c>
      <c r="K59" s="746" t="s">
        <v>26</v>
      </c>
      <c r="L59" s="751" t="s">
        <v>21</v>
      </c>
      <c r="M59" s="742">
        <v>132</v>
      </c>
      <c r="N59" s="739">
        <v>2</v>
      </c>
      <c r="O59" s="739">
        <v>3</v>
      </c>
      <c r="P59" s="739">
        <v>-1</v>
      </c>
    </row>
    <row r="60" spans="1:16" x14ac:dyDescent="0.25">
      <c r="A60" s="721">
        <v>50</v>
      </c>
      <c r="B60" s="723" t="s">
        <v>41</v>
      </c>
      <c r="C60" s="731" t="s">
        <v>40</v>
      </c>
      <c r="D60" s="721">
        <v>1</v>
      </c>
      <c r="E60" s="422"/>
      <c r="F60" s="727">
        <v>37</v>
      </c>
      <c r="G60" s="729" t="s">
        <v>11</v>
      </c>
      <c r="H60" s="730" t="s">
        <v>5</v>
      </c>
      <c r="I60" s="727">
        <v>1</v>
      </c>
      <c r="K60" s="746" t="s">
        <v>41</v>
      </c>
      <c r="L60" s="752" t="s">
        <v>40</v>
      </c>
      <c r="M60" s="742">
        <v>437</v>
      </c>
      <c r="N60" s="739">
        <v>1</v>
      </c>
      <c r="O60" s="739">
        <v>2</v>
      </c>
      <c r="P60" s="739">
        <v>-1</v>
      </c>
    </row>
    <row r="61" spans="1:16" x14ac:dyDescent="0.25">
      <c r="A61" s="721">
        <v>50</v>
      </c>
      <c r="B61" s="723" t="s">
        <v>19</v>
      </c>
      <c r="C61" s="724" t="s">
        <v>18</v>
      </c>
      <c r="D61" s="721">
        <v>1</v>
      </c>
      <c r="E61" s="422"/>
      <c r="F61" s="727">
        <v>37</v>
      </c>
      <c r="G61" s="729" t="s">
        <v>152</v>
      </c>
      <c r="H61" s="730" t="s">
        <v>21</v>
      </c>
      <c r="I61" s="727">
        <v>1</v>
      </c>
      <c r="K61" s="746" t="s">
        <v>183</v>
      </c>
      <c r="L61" s="752" t="s">
        <v>40</v>
      </c>
      <c r="M61" s="742">
        <v>55</v>
      </c>
      <c r="N61" s="739">
        <v>2</v>
      </c>
      <c r="O61" s="739">
        <v>3</v>
      </c>
      <c r="P61" s="739">
        <v>-1</v>
      </c>
    </row>
    <row r="62" spans="1:16" x14ac:dyDescent="0.25">
      <c r="A62" s="721">
        <v>50</v>
      </c>
      <c r="B62" s="723" t="s">
        <v>173</v>
      </c>
      <c r="C62" s="731" t="s">
        <v>5</v>
      </c>
      <c r="D62" s="721">
        <v>1</v>
      </c>
      <c r="E62" s="422"/>
      <c r="F62" s="727">
        <v>37</v>
      </c>
      <c r="G62" s="729" t="s">
        <v>190</v>
      </c>
      <c r="H62" s="731" t="s">
        <v>40</v>
      </c>
      <c r="I62" s="727">
        <v>1</v>
      </c>
      <c r="K62" s="746" t="s">
        <v>190</v>
      </c>
      <c r="L62" s="752" t="s">
        <v>40</v>
      </c>
      <c r="M62" s="742">
        <v>131</v>
      </c>
      <c r="N62" s="739">
        <v>0</v>
      </c>
      <c r="O62" s="739">
        <v>1</v>
      </c>
      <c r="P62" s="739">
        <v>-1</v>
      </c>
    </row>
    <row r="63" spans="1:16" x14ac:dyDescent="0.25">
      <c r="A63" s="721">
        <v>50</v>
      </c>
      <c r="B63" s="723" t="s">
        <v>12</v>
      </c>
      <c r="C63" s="724" t="s">
        <v>5</v>
      </c>
      <c r="D63" s="721">
        <v>1</v>
      </c>
      <c r="E63" s="422"/>
      <c r="F63" s="727">
        <v>59</v>
      </c>
      <c r="G63" s="729" t="s">
        <v>50</v>
      </c>
      <c r="H63" s="730" t="s">
        <v>43</v>
      </c>
      <c r="I63" s="727">
        <v>0</v>
      </c>
      <c r="K63" s="746" t="s">
        <v>51</v>
      </c>
      <c r="L63" s="751" t="s">
        <v>43</v>
      </c>
      <c r="M63" s="742">
        <v>45</v>
      </c>
      <c r="N63" s="739">
        <v>3</v>
      </c>
      <c r="O63" s="739">
        <v>4</v>
      </c>
      <c r="P63" s="739">
        <v>-1</v>
      </c>
    </row>
    <row r="64" spans="1:16" x14ac:dyDescent="0.25">
      <c r="A64" s="721">
        <v>50</v>
      </c>
      <c r="B64" s="723" t="s">
        <v>65</v>
      </c>
      <c r="C64" s="730" t="s">
        <v>63</v>
      </c>
      <c r="D64" s="721">
        <v>1</v>
      </c>
      <c r="E64" s="422"/>
      <c r="F64" s="727">
        <v>59</v>
      </c>
      <c r="G64" s="729" t="s">
        <v>42</v>
      </c>
      <c r="H64" s="730" t="s">
        <v>43</v>
      </c>
      <c r="I64" s="727">
        <v>0</v>
      </c>
      <c r="K64" s="746" t="s">
        <v>22</v>
      </c>
      <c r="L64" s="751" t="s">
        <v>167</v>
      </c>
      <c r="M64" s="742" t="s">
        <v>165</v>
      </c>
      <c r="N64" s="739">
        <v>1</v>
      </c>
      <c r="O64" s="739">
        <v>2</v>
      </c>
      <c r="P64" s="739">
        <v>-1</v>
      </c>
    </row>
    <row r="65" spans="1:16" x14ac:dyDescent="0.25">
      <c r="A65" s="721">
        <v>50</v>
      </c>
      <c r="B65" s="723" t="s">
        <v>30</v>
      </c>
      <c r="C65" s="730" t="s">
        <v>21</v>
      </c>
      <c r="D65" s="721">
        <v>1</v>
      </c>
      <c r="E65" s="422"/>
      <c r="F65" s="727">
        <v>59</v>
      </c>
      <c r="G65" s="729" t="s">
        <v>169</v>
      </c>
      <c r="H65" s="730" t="s">
        <v>21</v>
      </c>
      <c r="I65" s="727">
        <v>0</v>
      </c>
      <c r="K65" s="746" t="s">
        <v>12</v>
      </c>
      <c r="L65" s="751" t="s">
        <v>5</v>
      </c>
      <c r="M65" s="742">
        <v>67</v>
      </c>
      <c r="N65" s="739">
        <v>1</v>
      </c>
      <c r="O65" s="739">
        <v>3</v>
      </c>
      <c r="P65" s="739">
        <v>-2</v>
      </c>
    </row>
    <row r="66" spans="1:16" x14ac:dyDescent="0.25">
      <c r="A66" s="721">
        <v>50</v>
      </c>
      <c r="B66" s="723" t="s">
        <v>32</v>
      </c>
      <c r="C66" s="730" t="s">
        <v>21</v>
      </c>
      <c r="D66" s="721">
        <v>1</v>
      </c>
      <c r="E66" s="422"/>
      <c r="F66" s="727">
        <v>59</v>
      </c>
      <c r="G66" s="729" t="s">
        <v>38</v>
      </c>
      <c r="H66" s="730" t="s">
        <v>39</v>
      </c>
      <c r="I66" s="727">
        <v>0</v>
      </c>
      <c r="K66" s="746" t="s">
        <v>36</v>
      </c>
      <c r="L66" s="751" t="s">
        <v>21</v>
      </c>
      <c r="M66" s="742">
        <v>73</v>
      </c>
      <c r="N66" s="739">
        <v>0</v>
      </c>
      <c r="O66" s="739">
        <v>2</v>
      </c>
      <c r="P66" s="739">
        <v>-2</v>
      </c>
    </row>
    <row r="67" spans="1:16" x14ac:dyDescent="0.25">
      <c r="A67" s="721">
        <v>50</v>
      </c>
      <c r="B67" s="729" t="s">
        <v>185</v>
      </c>
      <c r="C67" s="725" t="s">
        <v>40</v>
      </c>
      <c r="D67" s="721">
        <v>1</v>
      </c>
      <c r="E67" s="422"/>
      <c r="F67" s="727">
        <v>59</v>
      </c>
      <c r="G67" s="729" t="s">
        <v>27</v>
      </c>
      <c r="H67" s="730" t="s">
        <v>21</v>
      </c>
      <c r="I67" s="727">
        <v>0</v>
      </c>
      <c r="K67" s="749" t="s">
        <v>182</v>
      </c>
      <c r="L67" s="752" t="s">
        <v>40</v>
      </c>
      <c r="M67" s="742">
        <v>54</v>
      </c>
      <c r="N67" s="739">
        <v>2</v>
      </c>
      <c r="O67" s="739">
        <v>4</v>
      </c>
      <c r="P67" s="739">
        <v>-2</v>
      </c>
    </row>
    <row r="68" spans="1:16" x14ac:dyDescent="0.25">
      <c r="A68" s="721">
        <v>50</v>
      </c>
      <c r="B68" s="729" t="s">
        <v>34</v>
      </c>
      <c r="C68" s="724" t="s">
        <v>21</v>
      </c>
      <c r="D68" s="721">
        <v>1</v>
      </c>
      <c r="E68" s="422"/>
      <c r="F68" s="727">
        <v>59</v>
      </c>
      <c r="G68" s="729" t="s">
        <v>47</v>
      </c>
      <c r="H68" s="730" t="s">
        <v>43</v>
      </c>
      <c r="I68" s="727">
        <v>0</v>
      </c>
      <c r="K68" s="749" t="s">
        <v>188</v>
      </c>
      <c r="L68" s="752" t="s">
        <v>40</v>
      </c>
      <c r="M68" s="744">
        <v>124</v>
      </c>
      <c r="N68" s="739">
        <v>1</v>
      </c>
      <c r="O68" s="739">
        <v>3</v>
      </c>
      <c r="P68" s="739">
        <v>-2</v>
      </c>
    </row>
    <row r="69" spans="1:16" x14ac:dyDescent="0.25">
      <c r="A69" s="721">
        <v>50</v>
      </c>
      <c r="B69" s="729" t="s">
        <v>31</v>
      </c>
      <c r="C69" s="724" t="s">
        <v>21</v>
      </c>
      <c r="D69" s="721">
        <v>1</v>
      </c>
      <c r="E69" s="422"/>
      <c r="F69" s="727">
        <v>59</v>
      </c>
      <c r="G69" s="737" t="s">
        <v>174</v>
      </c>
      <c r="H69" s="731" t="s">
        <v>5</v>
      </c>
      <c r="I69" s="727">
        <v>0</v>
      </c>
      <c r="K69" s="740" t="s">
        <v>71</v>
      </c>
      <c r="L69" s="751" t="s">
        <v>21</v>
      </c>
      <c r="M69" s="742">
        <v>41</v>
      </c>
      <c r="N69" s="739">
        <v>1</v>
      </c>
      <c r="O69" s="739">
        <v>4</v>
      </c>
      <c r="P69" s="739">
        <v>-3</v>
      </c>
    </row>
    <row r="70" spans="1:16" x14ac:dyDescent="0.25">
      <c r="A70" s="721">
        <v>50</v>
      </c>
      <c r="B70" s="723" t="s">
        <v>64</v>
      </c>
      <c r="C70" s="724" t="s">
        <v>63</v>
      </c>
      <c r="D70" s="721">
        <v>1</v>
      </c>
      <c r="E70" s="422"/>
      <c r="F70" s="727">
        <v>59</v>
      </c>
      <c r="G70" s="729" t="s">
        <v>53</v>
      </c>
      <c r="H70" s="730" t="s">
        <v>54</v>
      </c>
      <c r="I70" s="727">
        <v>0</v>
      </c>
      <c r="K70" s="746" t="s">
        <v>31</v>
      </c>
      <c r="L70" s="751" t="s">
        <v>21</v>
      </c>
      <c r="M70" s="742" t="s">
        <v>163</v>
      </c>
      <c r="N70" s="739">
        <v>1</v>
      </c>
      <c r="O70" s="739">
        <v>4</v>
      </c>
      <c r="P70" s="739">
        <v>-3</v>
      </c>
    </row>
    <row r="71" spans="1:16" x14ac:dyDescent="0.25">
      <c r="A71" s="721">
        <v>50</v>
      </c>
      <c r="B71" s="723" t="s">
        <v>187</v>
      </c>
      <c r="C71" s="731" t="s">
        <v>40</v>
      </c>
      <c r="D71" s="721">
        <v>1</v>
      </c>
      <c r="E71" s="422"/>
      <c r="F71" s="727">
        <v>59</v>
      </c>
      <c r="G71" s="729" t="s">
        <v>10</v>
      </c>
      <c r="H71" s="730" t="s">
        <v>5</v>
      </c>
      <c r="I71" s="727">
        <v>0</v>
      </c>
      <c r="K71" s="746" t="s">
        <v>185</v>
      </c>
      <c r="L71" s="752" t="s">
        <v>40</v>
      </c>
      <c r="M71" s="742">
        <v>91</v>
      </c>
      <c r="N71" s="739">
        <v>1</v>
      </c>
      <c r="O71" s="739">
        <v>4</v>
      </c>
      <c r="P71" s="739">
        <v>-3</v>
      </c>
    </row>
    <row r="72" spans="1:16" x14ac:dyDescent="0.25">
      <c r="A72" s="721">
        <v>50</v>
      </c>
      <c r="B72" s="737" t="s">
        <v>188</v>
      </c>
      <c r="C72" s="731" t="s">
        <v>40</v>
      </c>
      <c r="D72" s="721">
        <v>1</v>
      </c>
      <c r="E72" s="422"/>
      <c r="F72" s="727">
        <v>59</v>
      </c>
      <c r="G72" s="729" t="s">
        <v>195</v>
      </c>
      <c r="H72" s="730" t="s">
        <v>52</v>
      </c>
      <c r="I72" s="727">
        <v>0</v>
      </c>
      <c r="K72" s="750" t="s">
        <v>194</v>
      </c>
      <c r="L72" s="751" t="s">
        <v>43</v>
      </c>
      <c r="M72" s="742">
        <v>42</v>
      </c>
      <c r="N72" s="739">
        <v>1</v>
      </c>
      <c r="O72" s="739">
        <v>4</v>
      </c>
      <c r="P72" s="739">
        <v>-3</v>
      </c>
    </row>
    <row r="73" spans="1:16" x14ac:dyDescent="0.25">
      <c r="A73" s="721">
        <v>69</v>
      </c>
      <c r="B73" s="723" t="s">
        <v>36</v>
      </c>
      <c r="C73" s="724" t="s">
        <v>21</v>
      </c>
      <c r="D73" s="721">
        <v>0</v>
      </c>
      <c r="E73" s="422"/>
      <c r="F73" s="727">
        <v>59</v>
      </c>
      <c r="G73" s="729" t="s">
        <v>178</v>
      </c>
      <c r="H73" s="730" t="s">
        <v>21</v>
      </c>
      <c r="I73" s="727">
        <v>0</v>
      </c>
      <c r="K73" s="746" t="s">
        <v>45</v>
      </c>
      <c r="L73" s="751" t="s">
        <v>43</v>
      </c>
      <c r="M73" s="742">
        <v>103</v>
      </c>
      <c r="N73" s="739">
        <v>2</v>
      </c>
      <c r="O73" s="739">
        <v>5</v>
      </c>
      <c r="P73" s="739">
        <v>-3</v>
      </c>
    </row>
    <row r="74" spans="1:16" x14ac:dyDescent="0.25">
      <c r="A74" s="721">
        <v>69</v>
      </c>
      <c r="B74" s="723" t="s">
        <v>33</v>
      </c>
      <c r="C74" s="724" t="s">
        <v>21</v>
      </c>
      <c r="D74" s="721">
        <v>0</v>
      </c>
      <c r="E74" s="422"/>
      <c r="F74" s="727">
        <v>59</v>
      </c>
      <c r="G74" s="729" t="s">
        <v>23</v>
      </c>
      <c r="H74" s="730" t="s">
        <v>63</v>
      </c>
      <c r="I74" s="727">
        <v>0</v>
      </c>
      <c r="K74" s="740" t="s">
        <v>72</v>
      </c>
      <c r="L74" s="751" t="s">
        <v>52</v>
      </c>
      <c r="M74" s="742">
        <v>341</v>
      </c>
      <c r="N74" s="739">
        <v>1</v>
      </c>
      <c r="O74" s="739">
        <v>4</v>
      </c>
      <c r="P74" s="739">
        <v>-3</v>
      </c>
    </row>
    <row r="75" spans="1:16" x14ac:dyDescent="0.25">
      <c r="A75" s="721">
        <v>69</v>
      </c>
      <c r="B75" s="723" t="s">
        <v>37</v>
      </c>
      <c r="C75" s="724" t="s">
        <v>21</v>
      </c>
      <c r="D75" s="721">
        <v>0</v>
      </c>
      <c r="E75" s="422"/>
      <c r="F75" s="727">
        <v>59</v>
      </c>
      <c r="G75" s="729" t="s">
        <v>64</v>
      </c>
      <c r="H75" s="730" t="s">
        <v>63</v>
      </c>
      <c r="I75" s="727">
        <v>0</v>
      </c>
      <c r="K75" s="746" t="s">
        <v>4</v>
      </c>
      <c r="L75" s="751" t="s">
        <v>5</v>
      </c>
      <c r="M75" s="742">
        <v>335</v>
      </c>
      <c r="N75" s="739">
        <v>1</v>
      </c>
      <c r="O75" s="739">
        <v>5</v>
      </c>
      <c r="P75" s="739">
        <v>-4</v>
      </c>
    </row>
    <row r="76" spans="1:16" x14ac:dyDescent="0.25">
      <c r="A76" s="721">
        <v>69</v>
      </c>
      <c r="B76" s="723" t="s">
        <v>9</v>
      </c>
      <c r="C76" s="724" t="s">
        <v>5</v>
      </c>
      <c r="D76" s="721">
        <v>0</v>
      </c>
      <c r="E76" s="422"/>
      <c r="F76" s="727">
        <v>59</v>
      </c>
      <c r="G76" s="729" t="s">
        <v>189</v>
      </c>
      <c r="H76" s="731" t="s">
        <v>40</v>
      </c>
      <c r="I76" s="727">
        <v>0</v>
      </c>
      <c r="K76" s="740" t="s">
        <v>70</v>
      </c>
      <c r="L76" s="751" t="s">
        <v>21</v>
      </c>
      <c r="M76" s="742" t="s">
        <v>166</v>
      </c>
      <c r="N76" s="739">
        <v>0</v>
      </c>
      <c r="O76" s="739">
        <v>4</v>
      </c>
      <c r="P76" s="739">
        <v>-4</v>
      </c>
    </row>
    <row r="77" spans="1:16" x14ac:dyDescent="0.25">
      <c r="A77" s="721">
        <v>69</v>
      </c>
      <c r="B77" s="729" t="s">
        <v>195</v>
      </c>
      <c r="C77" s="724" t="s">
        <v>52</v>
      </c>
      <c r="D77" s="721">
        <v>0</v>
      </c>
      <c r="F77" s="727">
        <v>59</v>
      </c>
      <c r="G77" s="729" t="s">
        <v>8</v>
      </c>
      <c r="H77" s="730" t="s">
        <v>5</v>
      </c>
      <c r="I77" s="727">
        <v>0</v>
      </c>
      <c r="K77" s="746" t="s">
        <v>187</v>
      </c>
      <c r="L77" s="752" t="s">
        <v>40</v>
      </c>
      <c r="M77" s="742">
        <v>122</v>
      </c>
      <c r="N77" s="739">
        <v>1</v>
      </c>
      <c r="O77" s="739">
        <v>5</v>
      </c>
      <c r="P77" s="739">
        <v>-4</v>
      </c>
    </row>
    <row r="78" spans="1:16" x14ac:dyDescent="0.25">
      <c r="A78" s="721">
        <v>69</v>
      </c>
      <c r="B78" s="723" t="s">
        <v>196</v>
      </c>
      <c r="C78" s="730" t="s">
        <v>52</v>
      </c>
      <c r="D78" s="721">
        <v>0</v>
      </c>
      <c r="F78" s="727">
        <v>59</v>
      </c>
      <c r="G78" s="729" t="s">
        <v>66</v>
      </c>
      <c r="H78" s="730" t="s">
        <v>67</v>
      </c>
      <c r="I78" s="727">
        <v>0</v>
      </c>
      <c r="K78" s="746" t="s">
        <v>34</v>
      </c>
      <c r="L78" s="751" t="s">
        <v>21</v>
      </c>
      <c r="M78" s="742">
        <v>108</v>
      </c>
      <c r="N78" s="739">
        <v>1</v>
      </c>
      <c r="O78" s="739">
        <v>6</v>
      </c>
      <c r="P78" s="739">
        <v>-5</v>
      </c>
    </row>
    <row r="79" spans="1:16" x14ac:dyDescent="0.25">
      <c r="A79" s="721">
        <v>69</v>
      </c>
      <c r="B79" s="728" t="s">
        <v>70</v>
      </c>
      <c r="C79" s="724" t="s">
        <v>21</v>
      </c>
      <c r="D79" s="721">
        <v>0</v>
      </c>
      <c r="F79" s="727">
        <v>59</v>
      </c>
      <c r="G79" s="729" t="s">
        <v>13</v>
      </c>
      <c r="H79" s="730" t="s">
        <v>5</v>
      </c>
      <c r="I79" s="727">
        <v>0</v>
      </c>
      <c r="K79" s="746" t="s">
        <v>37</v>
      </c>
      <c r="L79" s="751" t="s">
        <v>21</v>
      </c>
      <c r="M79" s="742">
        <v>75</v>
      </c>
      <c r="N79" s="739">
        <v>0</v>
      </c>
      <c r="O79" s="739">
        <v>6</v>
      </c>
      <c r="P79" s="739">
        <v>-6</v>
      </c>
    </row>
    <row r="80" spans="1:16" x14ac:dyDescent="0.25">
      <c r="A80" s="721">
        <v>69</v>
      </c>
      <c r="B80" s="723" t="s">
        <v>190</v>
      </c>
      <c r="C80" s="731" t="s">
        <v>40</v>
      </c>
      <c r="D80" s="721">
        <v>0</v>
      </c>
      <c r="F80" s="727">
        <v>59</v>
      </c>
      <c r="G80" s="729" t="s">
        <v>176</v>
      </c>
      <c r="H80" s="730" t="s">
        <v>21</v>
      </c>
      <c r="I80" s="727">
        <v>0</v>
      </c>
      <c r="K80" s="746" t="s">
        <v>196</v>
      </c>
      <c r="L80" s="751" t="s">
        <v>52</v>
      </c>
      <c r="M80" s="742">
        <v>102</v>
      </c>
      <c r="N80" s="739">
        <v>0</v>
      </c>
      <c r="O80" s="739">
        <v>6</v>
      </c>
      <c r="P80" s="739">
        <v>-6</v>
      </c>
    </row>
  </sheetData>
  <sheetProtection password="EC77" sheet="1" objects="1" scenarios="1"/>
  <sortState ref="K7:P10">
    <sortCondition descending="1" ref="P5:P80"/>
  </sortState>
  <mergeCells count="6">
    <mergeCell ref="B1:I1"/>
    <mergeCell ref="K1:P1"/>
    <mergeCell ref="K2:P3"/>
    <mergeCell ref="F2:I3"/>
    <mergeCell ref="A2:D3"/>
    <mergeCell ref="E2:E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4" max="4" width="10.140625" customWidth="1"/>
    <col min="5" max="5" width="12.5703125" customWidth="1"/>
    <col min="6" max="6" width="11.28515625" customWidth="1"/>
    <col min="7" max="7" width="11" customWidth="1"/>
    <col min="8" max="8" width="12" customWidth="1"/>
    <col min="9" max="9" width="14" customWidth="1"/>
    <col min="10" max="10" width="11.28515625" customWidth="1"/>
    <col min="11" max="11" width="10.140625" customWidth="1"/>
    <col min="13" max="13" width="40.5703125" bestFit="1" customWidth="1"/>
    <col min="16" max="16" width="10.85546875" customWidth="1"/>
    <col min="17" max="17" width="11.7109375" customWidth="1"/>
    <col min="18" max="18" width="12" customWidth="1"/>
    <col min="19" max="20" width="11.5703125" customWidth="1"/>
    <col min="21" max="21" width="15.7109375" customWidth="1"/>
    <col min="22" max="22" width="12" customWidth="1"/>
    <col min="23" max="23" width="17.28515625" customWidth="1"/>
  </cols>
  <sheetData>
    <row r="1" spans="1:23" ht="15.75" x14ac:dyDescent="0.25">
      <c r="A1" s="686" t="s">
        <v>350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</row>
    <row r="2" spans="1:23" ht="15.75" x14ac:dyDescent="0.25">
      <c r="A2" s="688" t="s">
        <v>351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  <c r="V2" s="682"/>
      <c r="W2" s="682"/>
    </row>
    <row r="3" spans="1:23" ht="15.75" x14ac:dyDescent="0.25">
      <c r="A3" s="688" t="s">
        <v>220</v>
      </c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2"/>
      <c r="S3" s="682"/>
      <c r="T3" s="682"/>
      <c r="U3" s="682"/>
      <c r="V3" s="682"/>
      <c r="W3" s="682"/>
    </row>
    <row r="4" spans="1:23" ht="15.75" x14ac:dyDescent="0.25">
      <c r="A4" s="688" t="s">
        <v>230</v>
      </c>
      <c r="B4" s="682"/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</row>
    <row r="5" spans="1:23" x14ac:dyDescent="0.25">
      <c r="A5" s="687"/>
      <c r="B5" s="682"/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2"/>
      <c r="N5" s="682"/>
      <c r="O5" s="682"/>
      <c r="P5" s="682"/>
      <c r="Q5" s="682"/>
      <c r="R5" s="682"/>
      <c r="S5" s="682"/>
      <c r="T5" s="682"/>
      <c r="U5" s="682"/>
      <c r="V5" s="682"/>
      <c r="W5" s="682"/>
    </row>
    <row r="6" spans="1:23" ht="15.75" x14ac:dyDescent="0.25">
      <c r="A6" s="686" t="s">
        <v>352</v>
      </c>
      <c r="B6" s="683"/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3"/>
      <c r="O6" s="683"/>
      <c r="P6" s="683"/>
      <c r="Q6" s="683"/>
      <c r="R6" s="683"/>
      <c r="S6" s="683"/>
      <c r="T6" s="683"/>
      <c r="U6" s="683"/>
      <c r="V6" s="683"/>
      <c r="W6" s="683"/>
    </row>
    <row r="7" spans="1:23" ht="15.75" x14ac:dyDescent="0.25">
      <c r="A7" s="688" t="s">
        <v>353</v>
      </c>
      <c r="B7" s="682"/>
      <c r="C7" s="682"/>
      <c r="D7" s="682"/>
      <c r="E7" s="682"/>
      <c r="F7" s="682"/>
      <c r="G7" s="682"/>
      <c r="H7" s="682"/>
      <c r="I7" s="682"/>
      <c r="J7" s="682"/>
      <c r="K7" s="682"/>
      <c r="L7" s="682"/>
      <c r="M7" s="682"/>
      <c r="N7" s="682"/>
      <c r="O7" s="682"/>
      <c r="P7" s="682"/>
      <c r="Q7" s="682"/>
      <c r="R7" s="682"/>
      <c r="S7" s="682"/>
      <c r="T7" s="682"/>
      <c r="U7" s="682"/>
      <c r="V7" s="682"/>
      <c r="W7" s="682"/>
    </row>
    <row r="8" spans="1:23" ht="15.75" x14ac:dyDescent="0.25">
      <c r="A8" s="688" t="s">
        <v>220</v>
      </c>
      <c r="B8" s="682"/>
      <c r="C8" s="682"/>
      <c r="D8" s="682"/>
      <c r="E8" s="682"/>
      <c r="F8" s="682"/>
      <c r="G8" s="682"/>
      <c r="H8" s="682"/>
      <c r="I8" s="682"/>
      <c r="J8" s="682"/>
      <c r="K8" s="682"/>
      <c r="L8" s="682"/>
      <c r="M8" s="682"/>
      <c r="N8" s="682"/>
      <c r="O8" s="682"/>
      <c r="P8" s="682"/>
      <c r="Q8" s="682"/>
      <c r="R8" s="682"/>
      <c r="S8" s="682"/>
      <c r="T8" s="682"/>
      <c r="U8" s="682"/>
      <c r="V8" s="682"/>
      <c r="W8" s="682"/>
    </row>
    <row r="9" spans="1:23" ht="15.75" x14ac:dyDescent="0.25">
      <c r="A9" s="688" t="s">
        <v>354</v>
      </c>
      <c r="B9" s="682"/>
      <c r="C9" s="682"/>
      <c r="D9" s="682"/>
      <c r="E9" s="682"/>
      <c r="F9" s="682"/>
      <c r="G9" s="682"/>
      <c r="H9" s="682"/>
      <c r="I9" s="682"/>
      <c r="J9" s="682"/>
      <c r="K9" s="682"/>
      <c r="L9" s="682"/>
      <c r="M9" s="682"/>
      <c r="N9" s="682"/>
      <c r="O9" s="682"/>
      <c r="P9" s="682"/>
      <c r="Q9" s="682"/>
      <c r="R9" s="682"/>
      <c r="S9" s="682"/>
      <c r="T9" s="682"/>
      <c r="U9" s="682"/>
      <c r="V9" s="682"/>
      <c r="W9" s="682"/>
    </row>
    <row r="10" spans="1:23" ht="15.75" x14ac:dyDescent="0.25">
      <c r="A10" s="688"/>
      <c r="B10" s="682"/>
      <c r="C10" s="682"/>
      <c r="D10" s="682"/>
      <c r="E10" s="682"/>
      <c r="F10" s="682"/>
      <c r="G10" s="682"/>
      <c r="H10" s="682"/>
      <c r="I10" s="682"/>
      <c r="J10" s="682"/>
      <c r="K10" s="682"/>
      <c r="L10" s="682"/>
      <c r="M10" s="682"/>
      <c r="N10" s="682"/>
      <c r="O10" s="682"/>
      <c r="P10" s="682"/>
      <c r="Q10" s="682"/>
      <c r="R10" s="682"/>
      <c r="S10" s="682"/>
      <c r="T10" s="682"/>
      <c r="U10" s="682"/>
      <c r="V10" s="682"/>
      <c r="W10" s="682"/>
    </row>
    <row r="11" spans="1:23" ht="15.75" x14ac:dyDescent="0.25">
      <c r="A11" s="686" t="s">
        <v>355</v>
      </c>
      <c r="B11" s="682"/>
      <c r="C11" s="682"/>
      <c r="D11" s="682"/>
      <c r="E11" s="682"/>
      <c r="F11" s="682"/>
      <c r="G11" s="682"/>
      <c r="H11" s="682"/>
      <c r="I11" s="682"/>
      <c r="J11" s="682"/>
      <c r="K11" s="682"/>
      <c r="L11" s="682"/>
      <c r="M11" s="682"/>
      <c r="N11" s="682"/>
      <c r="O11" s="682"/>
      <c r="P11" s="682"/>
      <c r="Q11" s="682"/>
      <c r="R11" s="682"/>
      <c r="S11" s="682"/>
      <c r="T11" s="682"/>
      <c r="U11" s="682"/>
      <c r="V11" s="682"/>
      <c r="W11" s="682"/>
    </row>
    <row r="12" spans="1:23" ht="15.75" x14ac:dyDescent="0.25">
      <c r="A12" s="688" t="s">
        <v>353</v>
      </c>
      <c r="B12" s="682"/>
      <c r="C12" s="682"/>
      <c r="D12" s="682"/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2"/>
      <c r="Q12" s="682"/>
      <c r="R12" s="682"/>
      <c r="S12" s="682"/>
      <c r="T12" s="682"/>
      <c r="U12" s="682"/>
      <c r="V12" s="682"/>
      <c r="W12" s="682"/>
    </row>
    <row r="13" spans="1:23" ht="15.75" x14ac:dyDescent="0.25">
      <c r="A13" s="688" t="s">
        <v>356</v>
      </c>
      <c r="B13" s="682"/>
      <c r="C13" s="682"/>
      <c r="D13" s="682"/>
      <c r="E13" s="682"/>
      <c r="F13" s="682"/>
      <c r="G13" s="682"/>
      <c r="H13" s="682"/>
      <c r="I13" s="682"/>
      <c r="J13" s="682"/>
      <c r="K13" s="682"/>
      <c r="L13" s="682"/>
      <c r="M13" s="682"/>
      <c r="N13" s="682"/>
      <c r="O13" s="682"/>
      <c r="P13" s="682"/>
      <c r="Q13" s="682"/>
      <c r="R13" s="682"/>
      <c r="S13" s="682"/>
      <c r="T13" s="682"/>
      <c r="U13" s="682"/>
      <c r="V13" s="682"/>
      <c r="W13" s="682"/>
    </row>
    <row r="14" spans="1:23" ht="15.75" x14ac:dyDescent="0.25">
      <c r="A14" s="688"/>
      <c r="B14" s="682"/>
      <c r="C14" s="682"/>
      <c r="D14" s="682"/>
      <c r="E14" s="682"/>
      <c r="F14" s="682"/>
      <c r="G14" s="682"/>
      <c r="H14" s="682"/>
      <c r="I14" s="682"/>
      <c r="J14" s="682"/>
      <c r="K14" s="682"/>
      <c r="L14" s="682"/>
      <c r="M14" s="682"/>
      <c r="N14" s="682"/>
      <c r="O14" s="682"/>
      <c r="P14" s="682"/>
      <c r="Q14" s="682"/>
      <c r="R14" s="682"/>
      <c r="S14" s="682"/>
      <c r="T14" s="682"/>
      <c r="U14" s="682"/>
      <c r="V14" s="682"/>
      <c r="W14" s="682"/>
    </row>
    <row r="15" spans="1:23" x14ac:dyDescent="0.25">
      <c r="A15" s="911" t="s">
        <v>357</v>
      </c>
      <c r="B15" s="912"/>
      <c r="C15" s="912"/>
      <c r="D15" s="912"/>
      <c r="E15" s="912"/>
      <c r="F15" s="912"/>
      <c r="G15" s="912"/>
      <c r="H15" s="912"/>
      <c r="I15" s="912"/>
      <c r="J15" s="912"/>
      <c r="K15" s="913"/>
      <c r="L15" s="682"/>
      <c r="M15" s="910" t="s">
        <v>358</v>
      </c>
      <c r="N15" s="910"/>
      <c r="O15" s="910"/>
      <c r="P15" s="910"/>
      <c r="Q15" s="910"/>
      <c r="R15" s="910"/>
      <c r="S15" s="910"/>
      <c r="T15" s="910"/>
      <c r="U15" s="910"/>
      <c r="V15" s="910"/>
      <c r="W15" s="910"/>
    </row>
    <row r="16" spans="1:23" x14ac:dyDescent="0.25">
      <c r="A16" s="914"/>
      <c r="B16" s="915"/>
      <c r="C16" s="915"/>
      <c r="D16" s="915"/>
      <c r="E16" s="915"/>
      <c r="F16" s="915"/>
      <c r="G16" s="915"/>
      <c r="H16" s="915"/>
      <c r="I16" s="915"/>
      <c r="J16" s="915"/>
      <c r="K16" s="916"/>
      <c r="L16" s="682"/>
      <c r="M16" s="910"/>
      <c r="N16" s="910"/>
      <c r="O16" s="910"/>
      <c r="P16" s="910"/>
      <c r="Q16" s="910"/>
      <c r="R16" s="910"/>
      <c r="S16" s="910"/>
      <c r="T16" s="910"/>
      <c r="U16" s="910"/>
      <c r="V16" s="910"/>
      <c r="W16" s="910"/>
    </row>
    <row r="17" spans="1:23" ht="85.5" x14ac:dyDescent="0.25">
      <c r="A17" s="693" t="s">
        <v>142</v>
      </c>
      <c r="B17" s="693" t="s">
        <v>3</v>
      </c>
      <c r="C17" s="693" t="s">
        <v>359</v>
      </c>
      <c r="D17" s="771" t="s">
        <v>360</v>
      </c>
      <c r="E17" s="772" t="s">
        <v>361</v>
      </c>
      <c r="F17" s="771" t="s">
        <v>362</v>
      </c>
      <c r="G17" s="772" t="s">
        <v>363</v>
      </c>
      <c r="H17" s="772" t="s">
        <v>364</v>
      </c>
      <c r="I17" s="779" t="s">
        <v>365</v>
      </c>
      <c r="J17" s="779" t="s">
        <v>366</v>
      </c>
      <c r="K17" s="779" t="s">
        <v>367</v>
      </c>
      <c r="L17" s="780"/>
      <c r="M17" s="693" t="s">
        <v>142</v>
      </c>
      <c r="N17" s="693" t="s">
        <v>3</v>
      </c>
      <c r="O17" s="693" t="s">
        <v>359</v>
      </c>
      <c r="P17" s="770" t="s">
        <v>368</v>
      </c>
      <c r="Q17" s="771" t="s">
        <v>369</v>
      </c>
      <c r="R17" s="772" t="s">
        <v>370</v>
      </c>
      <c r="S17" s="772" t="s">
        <v>371</v>
      </c>
      <c r="T17" s="773" t="s">
        <v>372</v>
      </c>
      <c r="U17" s="774" t="s">
        <v>373</v>
      </c>
      <c r="V17" s="774" t="s">
        <v>374</v>
      </c>
      <c r="W17" s="774" t="s">
        <v>375</v>
      </c>
    </row>
    <row r="18" spans="1:23" x14ac:dyDescent="0.25">
      <c r="A18" s="691" t="s">
        <v>191</v>
      </c>
      <c r="B18" s="759" t="s">
        <v>43</v>
      </c>
      <c r="C18" s="760">
        <v>331</v>
      </c>
      <c r="D18" s="761">
        <v>82</v>
      </c>
      <c r="E18" s="761">
        <v>40</v>
      </c>
      <c r="F18" s="761">
        <v>10</v>
      </c>
      <c r="G18" s="761">
        <v>0</v>
      </c>
      <c r="H18" s="761">
        <v>32</v>
      </c>
      <c r="I18" s="762">
        <v>0.48780487804878048</v>
      </c>
      <c r="J18" s="763">
        <v>0.3902439024390244</v>
      </c>
      <c r="K18" s="763">
        <v>0.12195121951219512</v>
      </c>
      <c r="L18" s="690"/>
      <c r="M18" s="691" t="s">
        <v>191</v>
      </c>
      <c r="N18" s="775" t="s">
        <v>43</v>
      </c>
      <c r="O18" s="760">
        <v>331</v>
      </c>
      <c r="P18" s="761">
        <v>9</v>
      </c>
      <c r="Q18" s="761">
        <v>5</v>
      </c>
      <c r="R18" s="769">
        <v>3</v>
      </c>
      <c r="S18" s="691">
        <v>0</v>
      </c>
      <c r="T18" s="761">
        <v>1</v>
      </c>
      <c r="U18" s="762">
        <v>0.55555555555555558</v>
      </c>
      <c r="V18" s="763">
        <v>0.1111111111111111</v>
      </c>
      <c r="W18" s="763">
        <v>0.33333333333333331</v>
      </c>
    </row>
    <row r="19" spans="1:23" x14ac:dyDescent="0.25">
      <c r="A19" s="691" t="s">
        <v>154</v>
      </c>
      <c r="B19" s="759" t="s">
        <v>172</v>
      </c>
      <c r="C19" s="760">
        <v>332</v>
      </c>
      <c r="D19" s="761">
        <v>86</v>
      </c>
      <c r="E19" s="761">
        <v>43</v>
      </c>
      <c r="F19" s="761">
        <v>13</v>
      </c>
      <c r="G19" s="761">
        <v>0</v>
      </c>
      <c r="H19" s="761">
        <v>30</v>
      </c>
      <c r="I19" s="762">
        <v>0.5</v>
      </c>
      <c r="J19" s="763">
        <v>0.34883720930232559</v>
      </c>
      <c r="K19" s="763">
        <v>0.15116279069767441</v>
      </c>
      <c r="L19" s="690"/>
      <c r="M19" s="691" t="s">
        <v>154</v>
      </c>
      <c r="N19" s="775" t="s">
        <v>172</v>
      </c>
      <c r="O19" s="760">
        <v>332</v>
      </c>
      <c r="P19" s="761">
        <v>7</v>
      </c>
      <c r="Q19" s="761">
        <v>0</v>
      </c>
      <c r="R19" s="769">
        <v>2</v>
      </c>
      <c r="S19" s="691">
        <v>0</v>
      </c>
      <c r="T19" s="761">
        <v>5</v>
      </c>
      <c r="U19" s="762">
        <v>0</v>
      </c>
      <c r="V19" s="763">
        <v>0.7142857142857143</v>
      </c>
      <c r="W19" s="763">
        <v>0.2857142857142857</v>
      </c>
    </row>
    <row r="20" spans="1:23" x14ac:dyDescent="0.25">
      <c r="A20" s="691" t="s">
        <v>153</v>
      </c>
      <c r="B20" s="759" t="s">
        <v>5</v>
      </c>
      <c r="C20" s="760">
        <v>333</v>
      </c>
      <c r="D20" s="761">
        <v>31</v>
      </c>
      <c r="E20" s="761">
        <v>18</v>
      </c>
      <c r="F20" s="761">
        <v>3</v>
      </c>
      <c r="G20" s="761">
        <v>2</v>
      </c>
      <c r="H20" s="761">
        <v>8</v>
      </c>
      <c r="I20" s="762">
        <v>0.58064516129032262</v>
      </c>
      <c r="J20" s="763">
        <v>0.32258064516129031</v>
      </c>
      <c r="K20" s="763">
        <v>0.16129032258064516</v>
      </c>
      <c r="L20" s="690"/>
      <c r="M20" s="691" t="s">
        <v>153</v>
      </c>
      <c r="N20" s="775" t="s">
        <v>5</v>
      </c>
      <c r="O20" s="760">
        <v>333</v>
      </c>
      <c r="P20" s="761">
        <v>4</v>
      </c>
      <c r="Q20" s="761">
        <v>0</v>
      </c>
      <c r="R20" s="769">
        <v>0</v>
      </c>
      <c r="S20" s="691">
        <v>0</v>
      </c>
      <c r="T20" s="761">
        <v>3</v>
      </c>
      <c r="U20" s="762">
        <v>0</v>
      </c>
      <c r="V20" s="763">
        <v>1</v>
      </c>
      <c r="W20" s="763">
        <v>0</v>
      </c>
    </row>
    <row r="21" spans="1:23" x14ac:dyDescent="0.25">
      <c r="A21" s="691" t="s">
        <v>15</v>
      </c>
      <c r="B21" s="759" t="s">
        <v>5</v>
      </c>
      <c r="C21" s="760">
        <v>334</v>
      </c>
      <c r="D21" s="761">
        <v>22</v>
      </c>
      <c r="E21" s="761">
        <v>18</v>
      </c>
      <c r="F21" s="761">
        <v>0</v>
      </c>
      <c r="G21" s="761">
        <v>0</v>
      </c>
      <c r="H21" s="761">
        <v>4</v>
      </c>
      <c r="I21" s="762">
        <v>0.81818181818181823</v>
      </c>
      <c r="J21" s="763">
        <v>0.18181818181818182</v>
      </c>
      <c r="K21" s="763">
        <v>0</v>
      </c>
      <c r="L21" s="690"/>
      <c r="M21" s="691" t="s">
        <v>15</v>
      </c>
      <c r="N21" s="775" t="s">
        <v>5</v>
      </c>
      <c r="O21" s="760">
        <v>334</v>
      </c>
      <c r="P21" s="761">
        <v>0</v>
      </c>
      <c r="Q21" s="761">
        <v>0</v>
      </c>
      <c r="R21" s="769">
        <v>0</v>
      </c>
      <c r="S21" s="691">
        <v>0</v>
      </c>
      <c r="T21" s="761">
        <v>0</v>
      </c>
      <c r="U21" s="762"/>
      <c r="V21" s="763"/>
      <c r="W21" s="763"/>
    </row>
    <row r="22" spans="1:23" x14ac:dyDescent="0.25">
      <c r="A22" s="691" t="s">
        <v>69</v>
      </c>
      <c r="B22" s="759" t="s">
        <v>5</v>
      </c>
      <c r="C22" s="760">
        <v>474</v>
      </c>
      <c r="D22" s="761">
        <v>21</v>
      </c>
      <c r="E22" s="761">
        <v>19</v>
      </c>
      <c r="F22" s="761">
        <v>2</v>
      </c>
      <c r="G22" s="761">
        <v>0</v>
      </c>
      <c r="H22" s="761">
        <v>0</v>
      </c>
      <c r="I22" s="762">
        <v>0.90476190476190477</v>
      </c>
      <c r="J22" s="763">
        <v>0</v>
      </c>
      <c r="K22" s="763">
        <v>9.5238095238095233E-2</v>
      </c>
      <c r="L22" s="690"/>
      <c r="M22" s="691" t="s">
        <v>69</v>
      </c>
      <c r="N22" s="775" t="s">
        <v>5</v>
      </c>
      <c r="O22" s="760">
        <v>474</v>
      </c>
      <c r="P22" s="761">
        <v>1</v>
      </c>
      <c r="Q22" s="761">
        <v>1</v>
      </c>
      <c r="R22" s="769">
        <v>0</v>
      </c>
      <c r="S22" s="691">
        <v>0</v>
      </c>
      <c r="T22" s="761">
        <v>0</v>
      </c>
      <c r="U22" s="762">
        <v>1</v>
      </c>
      <c r="V22" s="763">
        <v>0</v>
      </c>
      <c r="W22" s="763">
        <v>0</v>
      </c>
    </row>
    <row r="23" spans="1:23" x14ac:dyDescent="0.25">
      <c r="A23" s="691" t="s">
        <v>4</v>
      </c>
      <c r="B23" s="759" t="s">
        <v>5</v>
      </c>
      <c r="C23" s="760">
        <v>335</v>
      </c>
      <c r="D23" s="761">
        <v>27</v>
      </c>
      <c r="E23" s="761">
        <v>12</v>
      </c>
      <c r="F23" s="761">
        <v>2</v>
      </c>
      <c r="G23" s="761">
        <v>0</v>
      </c>
      <c r="H23" s="761">
        <v>13</v>
      </c>
      <c r="I23" s="762">
        <v>0.44444444444444442</v>
      </c>
      <c r="J23" s="763">
        <v>0.48148148148148145</v>
      </c>
      <c r="K23" s="763">
        <v>7.407407407407407E-2</v>
      </c>
      <c r="L23" s="690"/>
      <c r="M23" s="691" t="s">
        <v>4</v>
      </c>
      <c r="N23" s="775" t="s">
        <v>5</v>
      </c>
      <c r="O23" s="760">
        <v>335</v>
      </c>
      <c r="P23" s="761">
        <v>3</v>
      </c>
      <c r="Q23" s="761">
        <v>3</v>
      </c>
      <c r="R23" s="769">
        <v>0</v>
      </c>
      <c r="S23" s="691">
        <v>0</v>
      </c>
      <c r="T23" s="761">
        <v>0</v>
      </c>
      <c r="U23" s="762">
        <v>1</v>
      </c>
      <c r="V23" s="763">
        <v>0</v>
      </c>
      <c r="W23" s="763">
        <v>0</v>
      </c>
    </row>
    <row r="24" spans="1:23" x14ac:dyDescent="0.25">
      <c r="A24" s="691" t="s">
        <v>29</v>
      </c>
      <c r="B24" s="759" t="s">
        <v>21</v>
      </c>
      <c r="C24" s="760">
        <v>336</v>
      </c>
      <c r="D24" s="761">
        <v>118</v>
      </c>
      <c r="E24" s="761">
        <v>28</v>
      </c>
      <c r="F24" s="761">
        <v>41</v>
      </c>
      <c r="G24" s="761">
        <v>5</v>
      </c>
      <c r="H24" s="761">
        <v>44</v>
      </c>
      <c r="I24" s="762">
        <v>0.23728813559322035</v>
      </c>
      <c r="J24" s="763">
        <v>0.4152542372881356</v>
      </c>
      <c r="K24" s="763">
        <v>0.38983050847457629</v>
      </c>
      <c r="L24" s="690"/>
      <c r="M24" s="691" t="s">
        <v>29</v>
      </c>
      <c r="N24" s="775" t="s">
        <v>21</v>
      </c>
      <c r="O24" s="760">
        <v>336</v>
      </c>
      <c r="P24" s="761">
        <v>15</v>
      </c>
      <c r="Q24" s="761">
        <v>5</v>
      </c>
      <c r="R24" s="769">
        <v>6</v>
      </c>
      <c r="S24" s="691">
        <v>0</v>
      </c>
      <c r="T24" s="761">
        <v>4</v>
      </c>
      <c r="U24" s="762">
        <v>0.33333333333333331</v>
      </c>
      <c r="V24" s="763">
        <v>0.26666666666666666</v>
      </c>
      <c r="W24" s="763">
        <v>0.4</v>
      </c>
    </row>
    <row r="25" spans="1:23" x14ac:dyDescent="0.25">
      <c r="A25" s="691" t="s">
        <v>72</v>
      </c>
      <c r="B25" s="759" t="s">
        <v>52</v>
      </c>
      <c r="C25" s="760">
        <v>341</v>
      </c>
      <c r="D25" s="761">
        <v>19</v>
      </c>
      <c r="E25" s="761">
        <v>8</v>
      </c>
      <c r="F25" s="761">
        <v>7</v>
      </c>
      <c r="G25" s="761">
        <v>1</v>
      </c>
      <c r="H25" s="761">
        <v>3</v>
      </c>
      <c r="I25" s="762">
        <v>0.42105263157894735</v>
      </c>
      <c r="J25" s="763">
        <v>0.21052631578947367</v>
      </c>
      <c r="K25" s="763">
        <v>0.42105263157894735</v>
      </c>
      <c r="L25" s="690"/>
      <c r="M25" s="691" t="s">
        <v>72</v>
      </c>
      <c r="N25" s="775" t="s">
        <v>52</v>
      </c>
      <c r="O25" s="760">
        <v>341</v>
      </c>
      <c r="P25" s="761">
        <v>2</v>
      </c>
      <c r="Q25" s="761">
        <v>0</v>
      </c>
      <c r="R25" s="769">
        <v>2</v>
      </c>
      <c r="S25" s="691">
        <v>0</v>
      </c>
      <c r="T25" s="761">
        <v>0</v>
      </c>
      <c r="U25" s="762">
        <v>0</v>
      </c>
      <c r="V25" s="763">
        <v>0</v>
      </c>
      <c r="W25" s="763">
        <v>1</v>
      </c>
    </row>
    <row r="26" spans="1:23" x14ac:dyDescent="0.25">
      <c r="A26" s="691" t="s">
        <v>24</v>
      </c>
      <c r="B26" s="759" t="s">
        <v>21</v>
      </c>
      <c r="C26" s="760">
        <v>342</v>
      </c>
      <c r="D26" s="761">
        <v>24</v>
      </c>
      <c r="E26" s="761">
        <v>15</v>
      </c>
      <c r="F26" s="761">
        <v>3</v>
      </c>
      <c r="G26" s="761">
        <v>0</v>
      </c>
      <c r="H26" s="761">
        <v>6</v>
      </c>
      <c r="I26" s="762">
        <v>0.625</v>
      </c>
      <c r="J26" s="763">
        <v>0.25</v>
      </c>
      <c r="K26" s="763">
        <v>0.125</v>
      </c>
      <c r="L26" s="690"/>
      <c r="M26" s="691" t="s">
        <v>24</v>
      </c>
      <c r="N26" s="775" t="s">
        <v>21</v>
      </c>
      <c r="O26" s="760">
        <v>342</v>
      </c>
      <c r="P26" s="761">
        <v>2</v>
      </c>
      <c r="Q26" s="761">
        <v>2</v>
      </c>
      <c r="R26" s="769">
        <v>0</v>
      </c>
      <c r="S26" s="691">
        <v>0</v>
      </c>
      <c r="T26" s="761">
        <v>0</v>
      </c>
      <c r="U26" s="762">
        <v>1</v>
      </c>
      <c r="V26" s="763">
        <v>0</v>
      </c>
      <c r="W26" s="763">
        <v>0</v>
      </c>
    </row>
    <row r="27" spans="1:23" x14ac:dyDescent="0.25">
      <c r="A27" s="691" t="s">
        <v>50</v>
      </c>
      <c r="B27" s="759" t="s">
        <v>43</v>
      </c>
      <c r="C27" s="760">
        <v>345</v>
      </c>
      <c r="D27" s="761">
        <v>62</v>
      </c>
      <c r="E27" s="761">
        <v>42</v>
      </c>
      <c r="F27" s="761">
        <v>7</v>
      </c>
      <c r="G27" s="761">
        <v>0</v>
      </c>
      <c r="H27" s="761">
        <v>13</v>
      </c>
      <c r="I27" s="762">
        <v>0.67741935483870963</v>
      </c>
      <c r="J27" s="763">
        <v>0.20967741935483872</v>
      </c>
      <c r="K27" s="763">
        <v>0.11290322580645161</v>
      </c>
      <c r="L27" s="690"/>
      <c r="M27" s="691" t="s">
        <v>50</v>
      </c>
      <c r="N27" s="775" t="s">
        <v>43</v>
      </c>
      <c r="O27" s="760">
        <v>345</v>
      </c>
      <c r="P27" s="761">
        <v>5</v>
      </c>
      <c r="Q27" s="761">
        <v>1</v>
      </c>
      <c r="R27" s="769">
        <v>1</v>
      </c>
      <c r="S27" s="691">
        <v>0</v>
      </c>
      <c r="T27" s="761">
        <v>3</v>
      </c>
      <c r="U27" s="762">
        <v>0.2</v>
      </c>
      <c r="V27" s="763">
        <v>0.6</v>
      </c>
      <c r="W27" s="763">
        <v>0.2</v>
      </c>
    </row>
    <row r="28" spans="1:23" x14ac:dyDescent="0.25">
      <c r="A28" s="691" t="s">
        <v>87</v>
      </c>
      <c r="B28" s="764" t="s">
        <v>63</v>
      </c>
      <c r="C28" s="760">
        <v>501</v>
      </c>
      <c r="D28" s="761">
        <v>5</v>
      </c>
      <c r="E28" s="761">
        <v>2</v>
      </c>
      <c r="F28" s="761">
        <v>2</v>
      </c>
      <c r="G28" s="761">
        <v>0</v>
      </c>
      <c r="H28" s="761">
        <v>1</v>
      </c>
      <c r="I28" s="762">
        <v>0.4</v>
      </c>
      <c r="J28" s="763">
        <v>0.2</v>
      </c>
      <c r="K28" s="763">
        <v>0.4</v>
      </c>
      <c r="L28" s="690"/>
      <c r="M28" s="691" t="s">
        <v>87</v>
      </c>
      <c r="N28" s="776" t="s">
        <v>63</v>
      </c>
      <c r="O28" s="760">
        <v>501</v>
      </c>
      <c r="P28" s="761">
        <v>0</v>
      </c>
      <c r="Q28" s="761">
        <v>0</v>
      </c>
      <c r="R28" s="769">
        <v>0</v>
      </c>
      <c r="S28" s="691">
        <v>0</v>
      </c>
      <c r="T28" s="761">
        <v>0</v>
      </c>
      <c r="U28" s="762"/>
      <c r="V28" s="763"/>
      <c r="W28" s="763"/>
    </row>
    <row r="29" spans="1:23" x14ac:dyDescent="0.25">
      <c r="A29" s="691" t="s">
        <v>175</v>
      </c>
      <c r="B29" s="759" t="s">
        <v>21</v>
      </c>
      <c r="C29" s="760">
        <v>346</v>
      </c>
      <c r="D29" s="761">
        <v>31</v>
      </c>
      <c r="E29" s="761">
        <v>15</v>
      </c>
      <c r="F29" s="761">
        <v>6</v>
      </c>
      <c r="G29" s="761">
        <v>0</v>
      </c>
      <c r="H29" s="761">
        <v>10</v>
      </c>
      <c r="I29" s="762">
        <v>0.4838709677419355</v>
      </c>
      <c r="J29" s="763">
        <v>0.32258064516129031</v>
      </c>
      <c r="K29" s="763">
        <v>0.19354838709677419</v>
      </c>
      <c r="L29" s="690"/>
      <c r="M29" s="691" t="s">
        <v>175</v>
      </c>
      <c r="N29" s="775" t="s">
        <v>21</v>
      </c>
      <c r="O29" s="760">
        <v>346</v>
      </c>
      <c r="P29" s="761">
        <v>1</v>
      </c>
      <c r="Q29" s="761">
        <v>1</v>
      </c>
      <c r="R29" s="769">
        <v>0</v>
      </c>
      <c r="S29" s="691">
        <v>0</v>
      </c>
      <c r="T29" s="761">
        <v>0</v>
      </c>
      <c r="U29" s="762">
        <v>1</v>
      </c>
      <c r="V29" s="763">
        <v>0</v>
      </c>
      <c r="W29" s="763">
        <v>0</v>
      </c>
    </row>
    <row r="30" spans="1:23" x14ac:dyDescent="0.25">
      <c r="A30" s="691" t="s">
        <v>17</v>
      </c>
      <c r="B30" s="759" t="s">
        <v>18</v>
      </c>
      <c r="C30" s="760">
        <v>348</v>
      </c>
      <c r="D30" s="761">
        <v>80</v>
      </c>
      <c r="E30" s="761">
        <v>38</v>
      </c>
      <c r="F30" s="761">
        <v>14</v>
      </c>
      <c r="G30" s="761">
        <v>1</v>
      </c>
      <c r="H30" s="761">
        <v>27</v>
      </c>
      <c r="I30" s="762">
        <v>0.47499999999999998</v>
      </c>
      <c r="J30" s="763">
        <v>0.35</v>
      </c>
      <c r="K30" s="763">
        <v>0.1875</v>
      </c>
      <c r="L30" s="690"/>
      <c r="M30" s="691" t="s">
        <v>17</v>
      </c>
      <c r="N30" s="775" t="s">
        <v>18</v>
      </c>
      <c r="O30" s="760">
        <v>348</v>
      </c>
      <c r="P30" s="761">
        <v>0</v>
      </c>
      <c r="Q30" s="761">
        <v>0</v>
      </c>
      <c r="R30" s="769">
        <v>0</v>
      </c>
      <c r="S30" s="691">
        <v>0</v>
      </c>
      <c r="T30" s="761">
        <v>0</v>
      </c>
      <c r="U30" s="762"/>
      <c r="V30" s="763"/>
      <c r="W30" s="763"/>
    </row>
    <row r="31" spans="1:23" x14ac:dyDescent="0.25">
      <c r="A31" s="691" t="s">
        <v>42</v>
      </c>
      <c r="B31" s="759" t="s">
        <v>43</v>
      </c>
      <c r="C31" s="760">
        <v>349</v>
      </c>
      <c r="D31" s="761">
        <v>79</v>
      </c>
      <c r="E31" s="761">
        <v>59</v>
      </c>
      <c r="F31" s="761">
        <v>6</v>
      </c>
      <c r="G31" s="761">
        <v>0</v>
      </c>
      <c r="H31" s="761">
        <v>14</v>
      </c>
      <c r="I31" s="762">
        <v>0.74683544303797467</v>
      </c>
      <c r="J31" s="763">
        <v>0.17721518987341772</v>
      </c>
      <c r="K31" s="763">
        <v>7.5949367088607597E-2</v>
      </c>
      <c r="L31" s="690"/>
      <c r="M31" s="691" t="s">
        <v>42</v>
      </c>
      <c r="N31" s="775" t="s">
        <v>43</v>
      </c>
      <c r="O31" s="760">
        <v>349</v>
      </c>
      <c r="P31" s="761">
        <v>3</v>
      </c>
      <c r="Q31" s="761">
        <v>2</v>
      </c>
      <c r="R31" s="769">
        <v>0</v>
      </c>
      <c r="S31" s="691">
        <v>0</v>
      </c>
      <c r="T31" s="761">
        <v>1</v>
      </c>
      <c r="U31" s="762">
        <v>0.66666666666666663</v>
      </c>
      <c r="V31" s="763">
        <v>0.33333333333333331</v>
      </c>
      <c r="W31" s="763">
        <v>0</v>
      </c>
    </row>
    <row r="32" spans="1:23" x14ac:dyDescent="0.25">
      <c r="A32" s="691" t="s">
        <v>169</v>
      </c>
      <c r="B32" s="759" t="s">
        <v>21</v>
      </c>
      <c r="C32" s="760">
        <v>350</v>
      </c>
      <c r="D32" s="761">
        <v>286</v>
      </c>
      <c r="E32" s="761">
        <v>153</v>
      </c>
      <c r="F32" s="761">
        <v>38</v>
      </c>
      <c r="G32" s="761">
        <v>4</v>
      </c>
      <c r="H32" s="761">
        <v>91</v>
      </c>
      <c r="I32" s="762">
        <v>0.534965034965035</v>
      </c>
      <c r="J32" s="763">
        <v>0.33216783216783219</v>
      </c>
      <c r="K32" s="763">
        <v>0.14685314685314685</v>
      </c>
      <c r="L32" s="690"/>
      <c r="M32" s="691" t="s">
        <v>169</v>
      </c>
      <c r="N32" s="775" t="s">
        <v>21</v>
      </c>
      <c r="O32" s="760">
        <v>350</v>
      </c>
      <c r="P32" s="761">
        <v>13</v>
      </c>
      <c r="Q32" s="761">
        <v>6</v>
      </c>
      <c r="R32" s="769">
        <v>3</v>
      </c>
      <c r="S32" s="691">
        <v>0</v>
      </c>
      <c r="T32" s="761">
        <v>4</v>
      </c>
      <c r="U32" s="762">
        <v>0.46153846153846156</v>
      </c>
      <c r="V32" s="763">
        <v>0.30769230769230771</v>
      </c>
      <c r="W32" s="763">
        <v>0.23076923076923078</v>
      </c>
    </row>
    <row r="33" spans="1:23" x14ac:dyDescent="0.25">
      <c r="A33" s="691" t="s">
        <v>193</v>
      </c>
      <c r="B33" s="759" t="s">
        <v>43</v>
      </c>
      <c r="C33" s="760">
        <v>351</v>
      </c>
      <c r="D33" s="761">
        <v>116</v>
      </c>
      <c r="E33" s="761">
        <v>70</v>
      </c>
      <c r="F33" s="761">
        <v>10</v>
      </c>
      <c r="G33" s="761">
        <v>2</v>
      </c>
      <c r="H33" s="761">
        <v>34</v>
      </c>
      <c r="I33" s="762">
        <v>0.60344827586206895</v>
      </c>
      <c r="J33" s="763">
        <v>0.31034482758620691</v>
      </c>
      <c r="K33" s="763">
        <v>0.10344827586206896</v>
      </c>
      <c r="L33" s="690"/>
      <c r="M33" s="691" t="s">
        <v>193</v>
      </c>
      <c r="N33" s="775" t="s">
        <v>43</v>
      </c>
      <c r="O33" s="760">
        <v>351</v>
      </c>
      <c r="P33" s="761">
        <v>7</v>
      </c>
      <c r="Q33" s="761">
        <v>4</v>
      </c>
      <c r="R33" s="769">
        <v>1</v>
      </c>
      <c r="S33" s="691">
        <v>0</v>
      </c>
      <c r="T33" s="761">
        <v>2</v>
      </c>
      <c r="U33" s="762">
        <v>0.5714285714285714</v>
      </c>
      <c r="V33" s="763">
        <v>0.2857142857142857</v>
      </c>
      <c r="W33" s="763">
        <v>0.14285714285714285</v>
      </c>
    </row>
    <row r="34" spans="1:23" x14ac:dyDescent="0.25">
      <c r="A34" s="691" t="s">
        <v>71</v>
      </c>
      <c r="B34" s="759" t="s">
        <v>21</v>
      </c>
      <c r="C34" s="760">
        <v>41</v>
      </c>
      <c r="D34" s="761">
        <v>36</v>
      </c>
      <c r="E34" s="761">
        <v>13</v>
      </c>
      <c r="F34" s="761">
        <v>7</v>
      </c>
      <c r="G34" s="761">
        <v>2</v>
      </c>
      <c r="H34" s="761">
        <v>14</v>
      </c>
      <c r="I34" s="762">
        <v>0.3611111111111111</v>
      </c>
      <c r="J34" s="763">
        <v>0.44444444444444442</v>
      </c>
      <c r="K34" s="763">
        <v>0.25</v>
      </c>
      <c r="L34" s="690"/>
      <c r="M34" s="691" t="s">
        <v>71</v>
      </c>
      <c r="N34" s="775" t="s">
        <v>21</v>
      </c>
      <c r="O34" s="760">
        <v>41</v>
      </c>
      <c r="P34" s="761">
        <v>0</v>
      </c>
      <c r="Q34" s="761">
        <v>0</v>
      </c>
      <c r="R34" s="769">
        <v>0</v>
      </c>
      <c r="S34" s="691">
        <v>0</v>
      </c>
      <c r="T34" s="761">
        <v>0</v>
      </c>
      <c r="U34" s="762"/>
      <c r="V34" s="763"/>
      <c r="W34" s="763"/>
    </row>
    <row r="35" spans="1:23" x14ac:dyDescent="0.25">
      <c r="A35" s="691" t="s">
        <v>194</v>
      </c>
      <c r="B35" s="759" t="s">
        <v>43</v>
      </c>
      <c r="C35" s="760">
        <v>42</v>
      </c>
      <c r="D35" s="761">
        <v>26</v>
      </c>
      <c r="E35" s="761">
        <v>15</v>
      </c>
      <c r="F35" s="761">
        <v>1</v>
      </c>
      <c r="G35" s="761">
        <v>0</v>
      </c>
      <c r="H35" s="761">
        <v>10</v>
      </c>
      <c r="I35" s="762">
        <v>0.57692307692307687</v>
      </c>
      <c r="J35" s="763">
        <v>0.38461538461538464</v>
      </c>
      <c r="K35" s="763">
        <v>3.8461538461538464E-2</v>
      </c>
      <c r="L35" s="690"/>
      <c r="M35" s="691" t="s">
        <v>194</v>
      </c>
      <c r="N35" s="775" t="s">
        <v>43</v>
      </c>
      <c r="O35" s="760">
        <v>42</v>
      </c>
      <c r="P35" s="761">
        <v>1</v>
      </c>
      <c r="Q35" s="761">
        <v>1</v>
      </c>
      <c r="R35" s="769">
        <v>0</v>
      </c>
      <c r="S35" s="691">
        <v>0</v>
      </c>
      <c r="T35" s="761">
        <v>0</v>
      </c>
      <c r="U35" s="762">
        <v>1</v>
      </c>
      <c r="V35" s="763">
        <v>0</v>
      </c>
      <c r="W35" s="763">
        <v>0</v>
      </c>
    </row>
    <row r="36" spans="1:23" x14ac:dyDescent="0.25">
      <c r="A36" s="691" t="s">
        <v>22</v>
      </c>
      <c r="B36" s="759" t="s">
        <v>167</v>
      </c>
      <c r="C36" s="760" t="s">
        <v>165</v>
      </c>
      <c r="D36" s="761">
        <v>33</v>
      </c>
      <c r="E36" s="761">
        <v>12</v>
      </c>
      <c r="F36" s="761">
        <v>7</v>
      </c>
      <c r="G36" s="761">
        <v>1</v>
      </c>
      <c r="H36" s="761">
        <v>13</v>
      </c>
      <c r="I36" s="762">
        <v>0.36363636363636365</v>
      </c>
      <c r="J36" s="763">
        <v>0.42424242424242425</v>
      </c>
      <c r="K36" s="763">
        <v>0.24242424242424243</v>
      </c>
      <c r="L36" s="690"/>
      <c r="M36" s="691" t="s">
        <v>22</v>
      </c>
      <c r="N36" s="775" t="s">
        <v>167</v>
      </c>
      <c r="O36" s="760" t="s">
        <v>165</v>
      </c>
      <c r="P36" s="761">
        <v>3</v>
      </c>
      <c r="Q36" s="761">
        <v>2</v>
      </c>
      <c r="R36" s="769">
        <v>1</v>
      </c>
      <c r="S36" s="691">
        <v>0</v>
      </c>
      <c r="T36" s="761">
        <v>0</v>
      </c>
      <c r="U36" s="762">
        <v>0.66666666666666663</v>
      </c>
      <c r="V36" s="763">
        <v>0</v>
      </c>
      <c r="W36" s="763">
        <v>0.33333333333333331</v>
      </c>
    </row>
    <row r="37" spans="1:23" x14ac:dyDescent="0.25">
      <c r="A37" s="691" t="s">
        <v>51</v>
      </c>
      <c r="B37" s="759" t="s">
        <v>43</v>
      </c>
      <c r="C37" s="760">
        <v>45</v>
      </c>
      <c r="D37" s="761">
        <v>194</v>
      </c>
      <c r="E37" s="761">
        <v>82</v>
      </c>
      <c r="F37" s="761">
        <v>29</v>
      </c>
      <c r="G37" s="761">
        <v>3</v>
      </c>
      <c r="H37" s="761">
        <v>80</v>
      </c>
      <c r="I37" s="762">
        <v>0.42268041237113402</v>
      </c>
      <c r="J37" s="763">
        <v>0.42783505154639173</v>
      </c>
      <c r="K37" s="763">
        <v>0.16494845360824742</v>
      </c>
      <c r="L37" s="690"/>
      <c r="M37" s="691" t="s">
        <v>51</v>
      </c>
      <c r="N37" s="775" t="s">
        <v>43</v>
      </c>
      <c r="O37" s="760">
        <v>45</v>
      </c>
      <c r="P37" s="761">
        <v>4</v>
      </c>
      <c r="Q37" s="761">
        <v>1</v>
      </c>
      <c r="R37" s="769">
        <v>1</v>
      </c>
      <c r="S37" s="691">
        <v>0</v>
      </c>
      <c r="T37" s="761">
        <v>2</v>
      </c>
      <c r="U37" s="762">
        <v>0.25</v>
      </c>
      <c r="V37" s="763">
        <v>0.5</v>
      </c>
      <c r="W37" s="763">
        <v>0.25</v>
      </c>
    </row>
    <row r="38" spans="1:23" x14ac:dyDescent="0.25">
      <c r="A38" s="691" t="s">
        <v>177</v>
      </c>
      <c r="B38" s="759" t="s">
        <v>21</v>
      </c>
      <c r="C38" s="760">
        <v>47</v>
      </c>
      <c r="D38" s="761">
        <v>28</v>
      </c>
      <c r="E38" s="761">
        <v>23</v>
      </c>
      <c r="F38" s="761">
        <v>3</v>
      </c>
      <c r="G38" s="761">
        <v>0</v>
      </c>
      <c r="H38" s="761">
        <v>2</v>
      </c>
      <c r="I38" s="762">
        <v>0.8214285714285714</v>
      </c>
      <c r="J38" s="763">
        <v>7.1428571428571425E-2</v>
      </c>
      <c r="K38" s="763">
        <v>0.10714285714285714</v>
      </c>
      <c r="L38" s="690"/>
      <c r="M38" s="691" t="s">
        <v>177</v>
      </c>
      <c r="N38" s="775" t="s">
        <v>21</v>
      </c>
      <c r="O38" s="760">
        <v>47</v>
      </c>
      <c r="P38" s="761">
        <v>2</v>
      </c>
      <c r="Q38" s="761">
        <v>2</v>
      </c>
      <c r="R38" s="769">
        <v>0</v>
      </c>
      <c r="S38" s="691">
        <v>0</v>
      </c>
      <c r="T38" s="761">
        <v>0</v>
      </c>
      <c r="U38" s="762">
        <v>1</v>
      </c>
      <c r="V38" s="763">
        <v>0</v>
      </c>
      <c r="W38" s="763">
        <v>0</v>
      </c>
    </row>
    <row r="39" spans="1:23" x14ac:dyDescent="0.25">
      <c r="A39" s="691" t="s">
        <v>181</v>
      </c>
      <c r="B39" s="759" t="s">
        <v>21</v>
      </c>
      <c r="C39" s="760">
        <v>443</v>
      </c>
      <c r="D39" s="761">
        <v>36</v>
      </c>
      <c r="E39" s="761">
        <v>21</v>
      </c>
      <c r="F39" s="761">
        <v>5</v>
      </c>
      <c r="G39" s="761">
        <v>2</v>
      </c>
      <c r="H39" s="761">
        <v>8</v>
      </c>
      <c r="I39" s="762">
        <v>0.58333333333333337</v>
      </c>
      <c r="J39" s="763">
        <v>0.27777777777777779</v>
      </c>
      <c r="K39" s="763">
        <v>0.19444444444444445</v>
      </c>
      <c r="L39" s="690"/>
      <c r="M39" s="691" t="s">
        <v>181</v>
      </c>
      <c r="N39" s="775" t="s">
        <v>21</v>
      </c>
      <c r="O39" s="760">
        <v>443</v>
      </c>
      <c r="P39" s="761">
        <v>5</v>
      </c>
      <c r="Q39" s="761">
        <v>2</v>
      </c>
      <c r="R39" s="769">
        <v>3</v>
      </c>
      <c r="S39" s="691">
        <v>0</v>
      </c>
      <c r="T39" s="761">
        <v>0</v>
      </c>
      <c r="U39" s="762">
        <v>0.4</v>
      </c>
      <c r="V39" s="763">
        <v>0</v>
      </c>
      <c r="W39" s="763">
        <v>0.6</v>
      </c>
    </row>
    <row r="40" spans="1:23" x14ac:dyDescent="0.25">
      <c r="A40" s="691" t="s">
        <v>41</v>
      </c>
      <c r="B40" s="759" t="s">
        <v>40</v>
      </c>
      <c r="C40" s="760">
        <v>437</v>
      </c>
      <c r="D40" s="761">
        <v>115</v>
      </c>
      <c r="E40" s="761">
        <v>41</v>
      </c>
      <c r="F40" s="761">
        <v>19</v>
      </c>
      <c r="G40" s="761">
        <v>1</v>
      </c>
      <c r="H40" s="761">
        <v>54</v>
      </c>
      <c r="I40" s="762">
        <v>0.35652173913043478</v>
      </c>
      <c r="J40" s="763">
        <v>0.47826086956521741</v>
      </c>
      <c r="K40" s="763">
        <v>0.17391304347826086</v>
      </c>
      <c r="L40" s="690"/>
      <c r="M40" s="691" t="s">
        <v>41</v>
      </c>
      <c r="N40" s="775" t="s">
        <v>40</v>
      </c>
      <c r="O40" s="760">
        <v>437</v>
      </c>
      <c r="P40" s="761">
        <v>17</v>
      </c>
      <c r="Q40" s="761">
        <v>4</v>
      </c>
      <c r="R40" s="769">
        <v>4</v>
      </c>
      <c r="S40" s="691">
        <v>0</v>
      </c>
      <c r="T40" s="761">
        <v>9</v>
      </c>
      <c r="U40" s="762">
        <v>0.23529411764705882</v>
      </c>
      <c r="V40" s="763">
        <v>0.52941176470588236</v>
      </c>
      <c r="W40" s="763">
        <v>0.23529411764705882</v>
      </c>
    </row>
    <row r="41" spans="1:23" x14ac:dyDescent="0.25">
      <c r="A41" s="691" t="s">
        <v>38</v>
      </c>
      <c r="B41" s="759" t="s">
        <v>39</v>
      </c>
      <c r="C41" s="760">
        <v>141</v>
      </c>
      <c r="D41" s="761">
        <v>93</v>
      </c>
      <c r="E41" s="761">
        <v>48</v>
      </c>
      <c r="F41" s="761">
        <v>18</v>
      </c>
      <c r="G41" s="761">
        <v>5</v>
      </c>
      <c r="H41" s="761">
        <v>22</v>
      </c>
      <c r="I41" s="762">
        <v>0.5161290322580645</v>
      </c>
      <c r="J41" s="763">
        <v>0.29032258064516131</v>
      </c>
      <c r="K41" s="763">
        <v>0.24731182795698925</v>
      </c>
      <c r="L41" s="690"/>
      <c r="M41" s="691" t="s">
        <v>38</v>
      </c>
      <c r="N41" s="775" t="s">
        <v>39</v>
      </c>
      <c r="O41" s="760">
        <v>141</v>
      </c>
      <c r="P41" s="761">
        <v>6</v>
      </c>
      <c r="Q41" s="761">
        <v>2</v>
      </c>
      <c r="R41" s="769">
        <v>2</v>
      </c>
      <c r="S41" s="691">
        <v>0</v>
      </c>
      <c r="T41" s="761">
        <v>2</v>
      </c>
      <c r="U41" s="762">
        <v>0.33333333333333331</v>
      </c>
      <c r="V41" s="763">
        <v>0.33333333333333331</v>
      </c>
      <c r="W41" s="763">
        <v>0.33333333333333331</v>
      </c>
    </row>
    <row r="42" spans="1:23" x14ac:dyDescent="0.25">
      <c r="A42" s="691" t="s">
        <v>19</v>
      </c>
      <c r="B42" s="759" t="s">
        <v>18</v>
      </c>
      <c r="C42" s="760">
        <v>53</v>
      </c>
      <c r="D42" s="761">
        <v>38</v>
      </c>
      <c r="E42" s="761">
        <v>16</v>
      </c>
      <c r="F42" s="761">
        <v>8</v>
      </c>
      <c r="G42" s="761">
        <v>0</v>
      </c>
      <c r="H42" s="761">
        <v>14</v>
      </c>
      <c r="I42" s="762">
        <v>0.42105263157894735</v>
      </c>
      <c r="J42" s="763">
        <v>0.36842105263157893</v>
      </c>
      <c r="K42" s="763">
        <v>0.21052631578947367</v>
      </c>
      <c r="L42" s="690"/>
      <c r="M42" s="691" t="s">
        <v>19</v>
      </c>
      <c r="N42" s="775" t="s">
        <v>18</v>
      </c>
      <c r="O42" s="760">
        <v>53</v>
      </c>
      <c r="P42" s="761">
        <v>3</v>
      </c>
      <c r="Q42" s="761">
        <v>2</v>
      </c>
      <c r="R42" s="769">
        <v>0</v>
      </c>
      <c r="S42" s="691">
        <v>0</v>
      </c>
      <c r="T42" s="761">
        <v>1</v>
      </c>
      <c r="U42" s="762">
        <v>0.66666666666666663</v>
      </c>
      <c r="V42" s="763">
        <v>0.33333333333333331</v>
      </c>
      <c r="W42" s="763">
        <v>0</v>
      </c>
    </row>
    <row r="43" spans="1:23" x14ac:dyDescent="0.25">
      <c r="A43" s="691" t="s">
        <v>182</v>
      </c>
      <c r="B43" s="765" t="s">
        <v>40</v>
      </c>
      <c r="C43" s="760">
        <v>54</v>
      </c>
      <c r="D43" s="761">
        <v>12</v>
      </c>
      <c r="E43" s="761">
        <v>4</v>
      </c>
      <c r="F43" s="761">
        <v>0</v>
      </c>
      <c r="G43" s="761">
        <v>0</v>
      </c>
      <c r="H43" s="761">
        <v>8</v>
      </c>
      <c r="I43" s="762">
        <v>0.33333333333333331</v>
      </c>
      <c r="J43" s="763">
        <v>0.66666666666666663</v>
      </c>
      <c r="K43" s="763">
        <v>0</v>
      </c>
      <c r="L43" s="690"/>
      <c r="M43" s="691" t="s">
        <v>182</v>
      </c>
      <c r="N43" s="777" t="s">
        <v>40</v>
      </c>
      <c r="O43" s="760">
        <v>54</v>
      </c>
      <c r="P43" s="761">
        <v>0</v>
      </c>
      <c r="Q43" s="761">
        <v>0</v>
      </c>
      <c r="R43" s="769">
        <v>0</v>
      </c>
      <c r="S43" s="691">
        <v>0</v>
      </c>
      <c r="T43" s="761">
        <v>0</v>
      </c>
      <c r="U43" s="762"/>
      <c r="V43" s="763"/>
      <c r="W43" s="763"/>
    </row>
    <row r="44" spans="1:23" x14ac:dyDescent="0.25">
      <c r="A44" s="691" t="s">
        <v>183</v>
      </c>
      <c r="B44" s="759" t="s">
        <v>40</v>
      </c>
      <c r="C44" s="760">
        <v>55</v>
      </c>
      <c r="D44" s="761">
        <v>16</v>
      </c>
      <c r="E44" s="761">
        <v>7</v>
      </c>
      <c r="F44" s="761">
        <v>1</v>
      </c>
      <c r="G44" s="761">
        <v>0</v>
      </c>
      <c r="H44" s="761">
        <v>8</v>
      </c>
      <c r="I44" s="762">
        <v>0.4375</v>
      </c>
      <c r="J44" s="763">
        <v>0.5</v>
      </c>
      <c r="K44" s="763">
        <v>6.25E-2</v>
      </c>
      <c r="L44" s="690"/>
      <c r="M44" s="691" t="s">
        <v>183</v>
      </c>
      <c r="N44" s="775" t="s">
        <v>40</v>
      </c>
      <c r="O44" s="760">
        <v>55</v>
      </c>
      <c r="P44" s="761">
        <v>5</v>
      </c>
      <c r="Q44" s="761">
        <v>0</v>
      </c>
      <c r="R44" s="769">
        <v>1</v>
      </c>
      <c r="S44" s="691">
        <v>0</v>
      </c>
      <c r="T44" s="761">
        <v>4</v>
      </c>
      <c r="U44" s="762">
        <v>0</v>
      </c>
      <c r="V44" s="763">
        <v>0.8</v>
      </c>
      <c r="W44" s="763">
        <v>0.2</v>
      </c>
    </row>
    <row r="45" spans="1:23" x14ac:dyDescent="0.25">
      <c r="A45" s="691" t="s">
        <v>48</v>
      </c>
      <c r="B45" s="759" t="s">
        <v>43</v>
      </c>
      <c r="C45" s="760" t="s">
        <v>376</v>
      </c>
      <c r="D45" s="761">
        <v>411</v>
      </c>
      <c r="E45" s="761">
        <v>167</v>
      </c>
      <c r="F45" s="761">
        <v>49</v>
      </c>
      <c r="G45" s="761">
        <v>3</v>
      </c>
      <c r="H45" s="761">
        <v>192</v>
      </c>
      <c r="I45" s="762">
        <v>0.40632603406326034</v>
      </c>
      <c r="J45" s="763">
        <v>0.47445255474452552</v>
      </c>
      <c r="K45" s="763">
        <v>0.12652068126520682</v>
      </c>
      <c r="L45" s="690"/>
      <c r="M45" s="691" t="s">
        <v>48</v>
      </c>
      <c r="N45" s="775" t="s">
        <v>43</v>
      </c>
      <c r="O45" s="760" t="s">
        <v>376</v>
      </c>
      <c r="P45" s="761">
        <v>22</v>
      </c>
      <c r="Q45" s="761">
        <v>4</v>
      </c>
      <c r="R45" s="769">
        <v>5</v>
      </c>
      <c r="S45" s="691">
        <v>0</v>
      </c>
      <c r="T45" s="761">
        <v>13</v>
      </c>
      <c r="U45" s="762">
        <v>0.18181818181818182</v>
      </c>
      <c r="V45" s="763">
        <v>0.59090909090909094</v>
      </c>
      <c r="W45" s="763">
        <v>0.22727272727272727</v>
      </c>
    </row>
    <row r="46" spans="1:23" x14ac:dyDescent="0.25">
      <c r="A46" s="691" t="s">
        <v>27</v>
      </c>
      <c r="B46" s="759" t="s">
        <v>21</v>
      </c>
      <c r="C46" s="760">
        <v>60</v>
      </c>
      <c r="D46" s="761">
        <v>118</v>
      </c>
      <c r="E46" s="761">
        <v>41</v>
      </c>
      <c r="F46" s="761">
        <v>33</v>
      </c>
      <c r="G46" s="761">
        <v>1</v>
      </c>
      <c r="H46" s="761">
        <v>43</v>
      </c>
      <c r="I46" s="762">
        <v>0.34745762711864409</v>
      </c>
      <c r="J46" s="763">
        <v>0.3728813559322034</v>
      </c>
      <c r="K46" s="763">
        <v>0.28813559322033899</v>
      </c>
      <c r="L46" s="690"/>
      <c r="M46" s="691" t="s">
        <v>27</v>
      </c>
      <c r="N46" s="775" t="s">
        <v>21</v>
      </c>
      <c r="O46" s="760">
        <v>60</v>
      </c>
      <c r="P46" s="761">
        <v>14</v>
      </c>
      <c r="Q46" s="761">
        <v>2</v>
      </c>
      <c r="R46" s="769">
        <v>3</v>
      </c>
      <c r="S46" s="691">
        <v>0</v>
      </c>
      <c r="T46" s="761">
        <v>9</v>
      </c>
      <c r="U46" s="762">
        <v>0.14285714285714285</v>
      </c>
      <c r="V46" s="763">
        <v>0.6428571428571429</v>
      </c>
      <c r="W46" s="763">
        <v>0.21428571428571427</v>
      </c>
    </row>
    <row r="47" spans="1:23" x14ac:dyDescent="0.25">
      <c r="A47" s="691" t="s">
        <v>16</v>
      </c>
      <c r="B47" s="759" t="s">
        <v>5</v>
      </c>
      <c r="C47" s="760">
        <v>62</v>
      </c>
      <c r="D47" s="761">
        <v>81</v>
      </c>
      <c r="E47" s="761">
        <v>56</v>
      </c>
      <c r="F47" s="761">
        <v>5</v>
      </c>
      <c r="G47" s="761">
        <v>0</v>
      </c>
      <c r="H47" s="761">
        <v>20</v>
      </c>
      <c r="I47" s="762">
        <v>0.69135802469135799</v>
      </c>
      <c r="J47" s="763">
        <v>0.24691358024691357</v>
      </c>
      <c r="K47" s="763">
        <v>6.1728395061728392E-2</v>
      </c>
      <c r="L47" s="690"/>
      <c r="M47" s="691" t="s">
        <v>16</v>
      </c>
      <c r="N47" s="775" t="s">
        <v>5</v>
      </c>
      <c r="O47" s="760">
        <v>62</v>
      </c>
      <c r="P47" s="761">
        <v>3</v>
      </c>
      <c r="Q47" s="761">
        <v>3</v>
      </c>
      <c r="R47" s="769">
        <v>0</v>
      </c>
      <c r="S47" s="691">
        <v>0</v>
      </c>
      <c r="T47" s="761">
        <v>0</v>
      </c>
      <c r="U47" s="762">
        <v>1</v>
      </c>
      <c r="V47" s="763">
        <v>0</v>
      </c>
      <c r="W47" s="763">
        <v>0</v>
      </c>
    </row>
    <row r="48" spans="1:23" x14ac:dyDescent="0.25">
      <c r="A48" s="691" t="s">
        <v>47</v>
      </c>
      <c r="B48" s="759" t="s">
        <v>43</v>
      </c>
      <c r="C48" s="760">
        <v>63</v>
      </c>
      <c r="D48" s="761">
        <v>79</v>
      </c>
      <c r="E48" s="761">
        <v>48</v>
      </c>
      <c r="F48" s="761">
        <v>9</v>
      </c>
      <c r="G48" s="761">
        <v>4</v>
      </c>
      <c r="H48" s="761">
        <v>18</v>
      </c>
      <c r="I48" s="762">
        <v>0.60759493670886078</v>
      </c>
      <c r="J48" s="763">
        <v>0.27848101265822783</v>
      </c>
      <c r="K48" s="763">
        <v>0.16455696202531644</v>
      </c>
      <c r="L48" s="690"/>
      <c r="M48" s="691" t="s">
        <v>47</v>
      </c>
      <c r="N48" s="775" t="s">
        <v>43</v>
      </c>
      <c r="O48" s="760">
        <v>63</v>
      </c>
      <c r="P48" s="761">
        <v>8</v>
      </c>
      <c r="Q48" s="761">
        <v>5</v>
      </c>
      <c r="R48" s="769">
        <v>1</v>
      </c>
      <c r="S48" s="691">
        <v>0</v>
      </c>
      <c r="T48" s="761">
        <v>2</v>
      </c>
      <c r="U48" s="762">
        <v>0.625</v>
      </c>
      <c r="V48" s="763">
        <v>0.25</v>
      </c>
      <c r="W48" s="763">
        <v>0.125</v>
      </c>
    </row>
    <row r="49" spans="1:23" x14ac:dyDescent="0.25">
      <c r="A49" s="691" t="s">
        <v>85</v>
      </c>
      <c r="B49" s="764" t="s">
        <v>88</v>
      </c>
      <c r="C49" s="760">
        <v>455</v>
      </c>
      <c r="D49" s="761">
        <v>11</v>
      </c>
      <c r="E49" s="761">
        <v>3</v>
      </c>
      <c r="F49" s="761">
        <v>1</v>
      </c>
      <c r="G49" s="761">
        <v>0</v>
      </c>
      <c r="H49" s="761">
        <v>7</v>
      </c>
      <c r="I49" s="762">
        <v>0.27272727272727271</v>
      </c>
      <c r="J49" s="763">
        <v>0.63636363636363635</v>
      </c>
      <c r="K49" s="763">
        <v>9.0909090909090912E-2</v>
      </c>
      <c r="L49" s="690"/>
      <c r="M49" s="691" t="s">
        <v>85</v>
      </c>
      <c r="N49" s="776" t="s">
        <v>88</v>
      </c>
      <c r="O49" s="760">
        <v>455</v>
      </c>
      <c r="P49" s="761">
        <v>1</v>
      </c>
      <c r="Q49" s="761">
        <v>0</v>
      </c>
      <c r="R49" s="769">
        <v>0</v>
      </c>
      <c r="S49" s="691">
        <v>0</v>
      </c>
      <c r="T49" s="761">
        <v>1</v>
      </c>
      <c r="U49" s="762">
        <v>0</v>
      </c>
      <c r="V49" s="763">
        <v>1</v>
      </c>
      <c r="W49" s="763">
        <v>0</v>
      </c>
    </row>
    <row r="50" spans="1:23" x14ac:dyDescent="0.25">
      <c r="A50" s="691" t="s">
        <v>173</v>
      </c>
      <c r="B50" s="759" t="s">
        <v>5</v>
      </c>
      <c r="C50" s="760">
        <v>66</v>
      </c>
      <c r="D50" s="761">
        <v>21</v>
      </c>
      <c r="E50" s="761">
        <v>9</v>
      </c>
      <c r="F50" s="761">
        <v>5</v>
      </c>
      <c r="G50" s="761">
        <v>1</v>
      </c>
      <c r="H50" s="761">
        <v>6</v>
      </c>
      <c r="I50" s="762">
        <v>0.42857142857142855</v>
      </c>
      <c r="J50" s="763">
        <v>0.33333333333333331</v>
      </c>
      <c r="K50" s="763">
        <v>0.2857142857142857</v>
      </c>
      <c r="L50" s="690"/>
      <c r="M50" s="691" t="s">
        <v>173</v>
      </c>
      <c r="N50" s="775" t="s">
        <v>5</v>
      </c>
      <c r="O50" s="760">
        <v>66</v>
      </c>
      <c r="P50" s="761">
        <v>0</v>
      </c>
      <c r="Q50" s="761">
        <v>0</v>
      </c>
      <c r="R50" s="769">
        <v>0</v>
      </c>
      <c r="S50" s="691">
        <v>0</v>
      </c>
      <c r="T50" s="761">
        <v>0</v>
      </c>
      <c r="U50" s="762"/>
      <c r="V50" s="763"/>
      <c r="W50" s="763"/>
    </row>
    <row r="51" spans="1:23" x14ac:dyDescent="0.25">
      <c r="A51" s="691" t="s">
        <v>12</v>
      </c>
      <c r="B51" s="759" t="s">
        <v>5</v>
      </c>
      <c r="C51" s="760">
        <v>67</v>
      </c>
      <c r="D51" s="761">
        <v>36</v>
      </c>
      <c r="E51" s="761">
        <v>24</v>
      </c>
      <c r="F51" s="761">
        <v>2</v>
      </c>
      <c r="G51" s="761">
        <v>0</v>
      </c>
      <c r="H51" s="761">
        <v>10</v>
      </c>
      <c r="I51" s="762">
        <v>0.66666666666666663</v>
      </c>
      <c r="J51" s="763">
        <v>0.27777777777777779</v>
      </c>
      <c r="K51" s="763">
        <v>5.5555555555555552E-2</v>
      </c>
      <c r="L51" s="690"/>
      <c r="M51" s="691" t="s">
        <v>12</v>
      </c>
      <c r="N51" s="775" t="s">
        <v>5</v>
      </c>
      <c r="O51" s="760">
        <v>67</v>
      </c>
      <c r="P51" s="761">
        <v>8</v>
      </c>
      <c r="Q51" s="761">
        <v>6</v>
      </c>
      <c r="R51" s="769">
        <v>0</v>
      </c>
      <c r="S51" s="691">
        <v>0</v>
      </c>
      <c r="T51" s="761">
        <v>2</v>
      </c>
      <c r="U51" s="762">
        <v>0.75</v>
      </c>
      <c r="V51" s="763">
        <v>0.25</v>
      </c>
      <c r="W51" s="763">
        <v>0</v>
      </c>
    </row>
    <row r="52" spans="1:23" x14ac:dyDescent="0.25">
      <c r="A52" s="691" t="s">
        <v>14</v>
      </c>
      <c r="B52" s="759" t="s">
        <v>5</v>
      </c>
      <c r="C52" s="760">
        <v>68</v>
      </c>
      <c r="D52" s="761">
        <v>47</v>
      </c>
      <c r="E52" s="761">
        <v>22</v>
      </c>
      <c r="F52" s="761">
        <v>0</v>
      </c>
      <c r="G52" s="761">
        <v>0</v>
      </c>
      <c r="H52" s="761">
        <v>25</v>
      </c>
      <c r="I52" s="762">
        <v>0.46808510638297873</v>
      </c>
      <c r="J52" s="763">
        <v>0.53191489361702127</v>
      </c>
      <c r="K52" s="763">
        <v>0</v>
      </c>
      <c r="L52" s="690"/>
      <c r="M52" s="691" t="s">
        <v>14</v>
      </c>
      <c r="N52" s="775" t="s">
        <v>5</v>
      </c>
      <c r="O52" s="760">
        <v>68</v>
      </c>
      <c r="P52" s="761">
        <v>2</v>
      </c>
      <c r="Q52" s="761">
        <v>1</v>
      </c>
      <c r="R52" s="769">
        <v>0</v>
      </c>
      <c r="S52" s="691">
        <v>0</v>
      </c>
      <c r="T52" s="761">
        <v>1</v>
      </c>
      <c r="U52" s="762">
        <v>0.5</v>
      </c>
      <c r="V52" s="763">
        <v>0.5</v>
      </c>
      <c r="W52" s="763">
        <v>0</v>
      </c>
    </row>
    <row r="53" spans="1:23" x14ac:dyDescent="0.25">
      <c r="A53" s="691" t="s">
        <v>174</v>
      </c>
      <c r="B53" s="765" t="s">
        <v>5</v>
      </c>
      <c r="C53" s="760">
        <v>70</v>
      </c>
      <c r="D53" s="761">
        <v>46</v>
      </c>
      <c r="E53" s="761">
        <v>28</v>
      </c>
      <c r="F53" s="761">
        <v>1</v>
      </c>
      <c r="G53" s="761">
        <v>1</v>
      </c>
      <c r="H53" s="761">
        <v>16</v>
      </c>
      <c r="I53" s="762">
        <v>0.60869565217391308</v>
      </c>
      <c r="J53" s="763">
        <v>0.36956521739130432</v>
      </c>
      <c r="K53" s="763">
        <v>4.3478260869565216E-2</v>
      </c>
      <c r="L53" s="690"/>
      <c r="M53" s="691" t="s">
        <v>174</v>
      </c>
      <c r="N53" s="777" t="s">
        <v>5</v>
      </c>
      <c r="O53" s="760">
        <v>70</v>
      </c>
      <c r="P53" s="761">
        <v>5</v>
      </c>
      <c r="Q53" s="761">
        <v>2</v>
      </c>
      <c r="R53" s="769">
        <v>0</v>
      </c>
      <c r="S53" s="691">
        <v>0</v>
      </c>
      <c r="T53" s="761">
        <v>3</v>
      </c>
      <c r="U53" s="762">
        <v>0.4</v>
      </c>
      <c r="V53" s="763">
        <v>0.6</v>
      </c>
      <c r="W53" s="763">
        <v>0</v>
      </c>
    </row>
    <row r="54" spans="1:23" x14ac:dyDescent="0.25">
      <c r="A54" s="691" t="s">
        <v>94</v>
      </c>
      <c r="B54" s="759" t="s">
        <v>58</v>
      </c>
      <c r="C54" s="760">
        <v>492</v>
      </c>
      <c r="D54" s="761">
        <v>21</v>
      </c>
      <c r="E54" s="761">
        <v>12</v>
      </c>
      <c r="F54" s="761">
        <v>5</v>
      </c>
      <c r="G54" s="761">
        <v>0</v>
      </c>
      <c r="H54" s="761">
        <v>4</v>
      </c>
      <c r="I54" s="762">
        <v>0.5714285714285714</v>
      </c>
      <c r="J54" s="763">
        <v>0.19047619047619047</v>
      </c>
      <c r="K54" s="763">
        <v>0.23809523809523808</v>
      </c>
      <c r="L54" s="690"/>
      <c r="M54" s="691" t="s">
        <v>94</v>
      </c>
      <c r="N54" s="775" t="s">
        <v>58</v>
      </c>
      <c r="O54" s="760">
        <v>492</v>
      </c>
      <c r="P54" s="761">
        <v>2</v>
      </c>
      <c r="Q54" s="761">
        <v>1</v>
      </c>
      <c r="R54" s="769">
        <v>1</v>
      </c>
      <c r="S54" s="691">
        <v>0</v>
      </c>
      <c r="T54" s="761">
        <v>0</v>
      </c>
      <c r="U54" s="762">
        <v>0.5</v>
      </c>
      <c r="V54" s="763">
        <v>0</v>
      </c>
      <c r="W54" s="763">
        <v>0.5</v>
      </c>
    </row>
    <row r="55" spans="1:23" x14ac:dyDescent="0.25">
      <c r="A55" s="691" t="s">
        <v>36</v>
      </c>
      <c r="B55" s="759" t="s">
        <v>21</v>
      </c>
      <c r="C55" s="760">
        <v>73</v>
      </c>
      <c r="D55" s="761">
        <v>31</v>
      </c>
      <c r="E55" s="761">
        <v>14</v>
      </c>
      <c r="F55" s="761">
        <v>7</v>
      </c>
      <c r="G55" s="761">
        <v>3</v>
      </c>
      <c r="H55" s="761">
        <v>7</v>
      </c>
      <c r="I55" s="762">
        <v>0.45161290322580644</v>
      </c>
      <c r="J55" s="763">
        <v>0.32258064516129031</v>
      </c>
      <c r="K55" s="763">
        <v>0.32258064516129031</v>
      </c>
      <c r="L55" s="690"/>
      <c r="M55" s="691" t="s">
        <v>36</v>
      </c>
      <c r="N55" s="775" t="s">
        <v>21</v>
      </c>
      <c r="O55" s="760">
        <v>73</v>
      </c>
      <c r="P55" s="761">
        <v>0</v>
      </c>
      <c r="Q55" s="761">
        <v>0</v>
      </c>
      <c r="R55" s="769">
        <v>0</v>
      </c>
      <c r="S55" s="691">
        <v>0</v>
      </c>
      <c r="T55" s="761">
        <v>0</v>
      </c>
      <c r="U55" s="762"/>
      <c r="V55" s="763"/>
      <c r="W55" s="763"/>
    </row>
    <row r="56" spans="1:23" x14ac:dyDescent="0.25">
      <c r="A56" s="691" t="s">
        <v>33</v>
      </c>
      <c r="B56" s="759" t="s">
        <v>21</v>
      </c>
      <c r="C56" s="760">
        <v>74</v>
      </c>
      <c r="D56" s="761">
        <v>28</v>
      </c>
      <c r="E56" s="761">
        <v>15</v>
      </c>
      <c r="F56" s="761">
        <v>3</v>
      </c>
      <c r="G56" s="761">
        <v>0</v>
      </c>
      <c r="H56" s="761">
        <v>10</v>
      </c>
      <c r="I56" s="762">
        <v>0.5357142857142857</v>
      </c>
      <c r="J56" s="763">
        <v>0.35714285714285715</v>
      </c>
      <c r="K56" s="763">
        <v>0.10714285714285714</v>
      </c>
      <c r="L56" s="690"/>
      <c r="M56" s="691" t="s">
        <v>33</v>
      </c>
      <c r="N56" s="775" t="s">
        <v>21</v>
      </c>
      <c r="O56" s="760">
        <v>74</v>
      </c>
      <c r="P56" s="761">
        <v>0</v>
      </c>
      <c r="Q56" s="761">
        <v>0</v>
      </c>
      <c r="R56" s="769">
        <v>0</v>
      </c>
      <c r="S56" s="691">
        <v>0</v>
      </c>
      <c r="T56" s="761">
        <v>0</v>
      </c>
      <c r="U56" s="762"/>
      <c r="V56" s="763"/>
      <c r="W56" s="763"/>
    </row>
    <row r="57" spans="1:23" x14ac:dyDescent="0.25">
      <c r="A57" s="691" t="s">
        <v>37</v>
      </c>
      <c r="B57" s="759" t="s">
        <v>21</v>
      </c>
      <c r="C57" s="760">
        <v>75</v>
      </c>
      <c r="D57" s="761">
        <v>6</v>
      </c>
      <c r="E57" s="761">
        <v>1</v>
      </c>
      <c r="F57" s="761">
        <v>5</v>
      </c>
      <c r="G57" s="761">
        <v>0</v>
      </c>
      <c r="H57" s="761">
        <v>5</v>
      </c>
      <c r="I57" s="762">
        <v>0.16666666666666666</v>
      </c>
      <c r="J57" s="763">
        <v>0</v>
      </c>
      <c r="K57" s="763">
        <v>0.83333333333333337</v>
      </c>
      <c r="L57" s="690"/>
      <c r="M57" s="691" t="s">
        <v>37</v>
      </c>
      <c r="N57" s="775" t="s">
        <v>21</v>
      </c>
      <c r="O57" s="760">
        <v>75</v>
      </c>
      <c r="P57" s="761">
        <v>0</v>
      </c>
      <c r="Q57" s="761">
        <v>0</v>
      </c>
      <c r="R57" s="769">
        <v>0</v>
      </c>
      <c r="S57" s="691">
        <v>0</v>
      </c>
      <c r="T57" s="761">
        <v>0</v>
      </c>
      <c r="U57" s="762"/>
      <c r="V57" s="763"/>
      <c r="W57" s="763"/>
    </row>
    <row r="58" spans="1:23" x14ac:dyDescent="0.25">
      <c r="A58" s="691" t="s">
        <v>53</v>
      </c>
      <c r="B58" s="759" t="s">
        <v>54</v>
      </c>
      <c r="C58" s="760">
        <v>77</v>
      </c>
      <c r="D58" s="761">
        <v>88</v>
      </c>
      <c r="E58" s="761">
        <v>59</v>
      </c>
      <c r="F58" s="761">
        <v>4</v>
      </c>
      <c r="G58" s="761">
        <v>0</v>
      </c>
      <c r="H58" s="761">
        <v>20</v>
      </c>
      <c r="I58" s="762">
        <v>0.67045454545454541</v>
      </c>
      <c r="J58" s="763">
        <v>0.28409090909090912</v>
      </c>
      <c r="K58" s="763">
        <v>4.5454545454545456E-2</v>
      </c>
      <c r="L58" s="690"/>
      <c r="M58" s="691" t="s">
        <v>53</v>
      </c>
      <c r="N58" s="775" t="s">
        <v>54</v>
      </c>
      <c r="O58" s="760">
        <v>77</v>
      </c>
      <c r="P58" s="761">
        <v>9</v>
      </c>
      <c r="Q58" s="761">
        <v>6</v>
      </c>
      <c r="R58" s="769">
        <v>1</v>
      </c>
      <c r="S58" s="691">
        <v>0</v>
      </c>
      <c r="T58" s="761">
        <v>2</v>
      </c>
      <c r="U58" s="762">
        <v>0.66666666666666663</v>
      </c>
      <c r="V58" s="763">
        <v>0.22222222222222221</v>
      </c>
      <c r="W58" s="763">
        <v>0.1111111111111111</v>
      </c>
    </row>
    <row r="59" spans="1:23" x14ac:dyDescent="0.25">
      <c r="A59" s="691" t="s">
        <v>65</v>
      </c>
      <c r="B59" s="759" t="s">
        <v>63</v>
      </c>
      <c r="C59" s="760">
        <v>79</v>
      </c>
      <c r="D59" s="761">
        <v>29</v>
      </c>
      <c r="E59" s="761">
        <v>12</v>
      </c>
      <c r="F59" s="761">
        <v>1</v>
      </c>
      <c r="G59" s="761">
        <v>1</v>
      </c>
      <c r="H59" s="761">
        <v>15</v>
      </c>
      <c r="I59" s="762">
        <v>0.41379310344827586</v>
      </c>
      <c r="J59" s="763">
        <v>0.55172413793103448</v>
      </c>
      <c r="K59" s="763">
        <v>6.8965517241379309E-2</v>
      </c>
      <c r="L59" s="690"/>
      <c r="M59" s="691" t="s">
        <v>65</v>
      </c>
      <c r="N59" s="775" t="s">
        <v>63</v>
      </c>
      <c r="O59" s="760">
        <v>79</v>
      </c>
      <c r="P59" s="761">
        <v>12</v>
      </c>
      <c r="Q59" s="761">
        <v>4</v>
      </c>
      <c r="R59" s="769">
        <v>0</v>
      </c>
      <c r="S59" s="691">
        <v>0</v>
      </c>
      <c r="T59" s="761">
        <v>8</v>
      </c>
      <c r="U59" s="762">
        <v>0.33333333333333331</v>
      </c>
      <c r="V59" s="763">
        <v>0.66666666666666663</v>
      </c>
      <c r="W59" s="763">
        <v>0</v>
      </c>
    </row>
    <row r="60" spans="1:23" x14ac:dyDescent="0.25">
      <c r="A60" s="691" t="s">
        <v>184</v>
      </c>
      <c r="B60" s="759" t="s">
        <v>40</v>
      </c>
      <c r="C60" s="760">
        <v>80</v>
      </c>
      <c r="D60" s="761">
        <v>36</v>
      </c>
      <c r="E60" s="761">
        <v>21</v>
      </c>
      <c r="F60" s="761">
        <v>6</v>
      </c>
      <c r="G60" s="761">
        <v>0</v>
      </c>
      <c r="H60" s="761">
        <v>9</v>
      </c>
      <c r="I60" s="762">
        <v>0.58333333333333337</v>
      </c>
      <c r="J60" s="763">
        <v>0.25</v>
      </c>
      <c r="K60" s="763">
        <v>0.16666666666666666</v>
      </c>
      <c r="L60" s="690"/>
      <c r="M60" s="691" t="s">
        <v>184</v>
      </c>
      <c r="N60" s="775" t="s">
        <v>40</v>
      </c>
      <c r="O60" s="760">
        <v>80</v>
      </c>
      <c r="P60" s="761">
        <v>3</v>
      </c>
      <c r="Q60" s="761">
        <v>1</v>
      </c>
      <c r="R60" s="769">
        <v>2</v>
      </c>
      <c r="S60" s="691">
        <v>0</v>
      </c>
      <c r="T60" s="761">
        <v>0</v>
      </c>
      <c r="U60" s="762">
        <v>0.33333333333333331</v>
      </c>
      <c r="V60" s="763">
        <v>0</v>
      </c>
      <c r="W60" s="763">
        <v>0.66666666666666663</v>
      </c>
    </row>
    <row r="61" spans="1:23" x14ac:dyDescent="0.25">
      <c r="A61" s="691" t="s">
        <v>30</v>
      </c>
      <c r="B61" s="759" t="s">
        <v>21</v>
      </c>
      <c r="C61" s="760">
        <v>81</v>
      </c>
      <c r="D61" s="761">
        <v>73</v>
      </c>
      <c r="E61" s="761">
        <v>18</v>
      </c>
      <c r="F61" s="761">
        <v>29</v>
      </c>
      <c r="G61" s="761">
        <v>0</v>
      </c>
      <c r="H61" s="761">
        <v>26</v>
      </c>
      <c r="I61" s="762">
        <v>0.24657534246575341</v>
      </c>
      <c r="J61" s="763">
        <v>0.35616438356164382</v>
      </c>
      <c r="K61" s="763">
        <v>0.39726027397260272</v>
      </c>
      <c r="L61" s="690"/>
      <c r="M61" s="691" t="s">
        <v>30</v>
      </c>
      <c r="N61" s="775" t="s">
        <v>21</v>
      </c>
      <c r="O61" s="760">
        <v>81</v>
      </c>
      <c r="P61" s="761">
        <v>6</v>
      </c>
      <c r="Q61" s="761">
        <v>1</v>
      </c>
      <c r="R61" s="769">
        <v>2</v>
      </c>
      <c r="S61" s="691">
        <v>0</v>
      </c>
      <c r="T61" s="761">
        <v>3</v>
      </c>
      <c r="U61" s="762">
        <v>0.16666666666666666</v>
      </c>
      <c r="V61" s="763">
        <v>0.5</v>
      </c>
      <c r="W61" s="763">
        <v>0.33333333333333331</v>
      </c>
    </row>
    <row r="62" spans="1:23" x14ac:dyDescent="0.25">
      <c r="A62" s="691" t="s">
        <v>10</v>
      </c>
      <c r="B62" s="759" t="s">
        <v>5</v>
      </c>
      <c r="C62" s="760" t="s">
        <v>162</v>
      </c>
      <c r="D62" s="761">
        <v>54</v>
      </c>
      <c r="E62" s="761">
        <v>32</v>
      </c>
      <c r="F62" s="761">
        <v>5</v>
      </c>
      <c r="G62" s="761">
        <v>3</v>
      </c>
      <c r="H62" s="761">
        <v>14</v>
      </c>
      <c r="I62" s="762">
        <v>0.59259259259259256</v>
      </c>
      <c r="J62" s="763">
        <v>0.31481481481481483</v>
      </c>
      <c r="K62" s="763">
        <v>0.14814814814814814</v>
      </c>
      <c r="L62" s="690"/>
      <c r="M62" s="691" t="s">
        <v>10</v>
      </c>
      <c r="N62" s="775" t="s">
        <v>5</v>
      </c>
      <c r="O62" s="760" t="s">
        <v>162</v>
      </c>
      <c r="P62" s="761">
        <v>3</v>
      </c>
      <c r="Q62" s="761">
        <v>1</v>
      </c>
      <c r="R62" s="769">
        <v>0</v>
      </c>
      <c r="S62" s="691">
        <v>0</v>
      </c>
      <c r="T62" s="761">
        <v>2</v>
      </c>
      <c r="U62" s="762">
        <v>0.33333333333333331</v>
      </c>
      <c r="V62" s="763">
        <v>0.66666666666666663</v>
      </c>
      <c r="W62" s="763">
        <v>0</v>
      </c>
    </row>
    <row r="63" spans="1:23" x14ac:dyDescent="0.25">
      <c r="A63" s="691" t="s">
        <v>46</v>
      </c>
      <c r="B63" s="759" t="s">
        <v>43</v>
      </c>
      <c r="C63" s="760">
        <v>83</v>
      </c>
      <c r="D63" s="761">
        <v>82</v>
      </c>
      <c r="E63" s="761">
        <v>47</v>
      </c>
      <c r="F63" s="761">
        <v>6</v>
      </c>
      <c r="G63" s="761">
        <v>1</v>
      </c>
      <c r="H63" s="761">
        <v>28</v>
      </c>
      <c r="I63" s="762">
        <v>0.57317073170731703</v>
      </c>
      <c r="J63" s="763">
        <v>0.35365853658536583</v>
      </c>
      <c r="K63" s="763">
        <v>8.5365853658536592E-2</v>
      </c>
      <c r="L63" s="690"/>
      <c r="M63" s="691" t="s">
        <v>46</v>
      </c>
      <c r="N63" s="775" t="s">
        <v>43</v>
      </c>
      <c r="O63" s="760">
        <v>83</v>
      </c>
      <c r="P63" s="761">
        <v>1</v>
      </c>
      <c r="Q63" s="761">
        <v>0</v>
      </c>
      <c r="R63" s="769">
        <v>1</v>
      </c>
      <c r="S63" s="691">
        <v>0</v>
      </c>
      <c r="T63" s="761">
        <v>0</v>
      </c>
      <c r="U63" s="762">
        <v>0</v>
      </c>
      <c r="V63" s="763">
        <v>0</v>
      </c>
      <c r="W63" s="763">
        <v>1</v>
      </c>
    </row>
    <row r="64" spans="1:23" x14ac:dyDescent="0.25">
      <c r="A64" s="691" t="s">
        <v>145</v>
      </c>
      <c r="B64" s="759" t="s">
        <v>5</v>
      </c>
      <c r="C64" s="760">
        <v>84</v>
      </c>
      <c r="D64" s="761">
        <v>111</v>
      </c>
      <c r="E64" s="761">
        <v>56</v>
      </c>
      <c r="F64" s="761">
        <v>19</v>
      </c>
      <c r="G64" s="761">
        <v>5</v>
      </c>
      <c r="H64" s="761">
        <v>31</v>
      </c>
      <c r="I64" s="762">
        <v>0.50450450450450446</v>
      </c>
      <c r="J64" s="763">
        <v>0.32432432432432434</v>
      </c>
      <c r="K64" s="763">
        <v>0.21621621621621623</v>
      </c>
      <c r="L64" s="690"/>
      <c r="M64" s="691" t="s">
        <v>145</v>
      </c>
      <c r="N64" s="775" t="s">
        <v>5</v>
      </c>
      <c r="O64" s="760">
        <v>84</v>
      </c>
      <c r="P64" s="761">
        <v>8</v>
      </c>
      <c r="Q64" s="761">
        <v>4</v>
      </c>
      <c r="R64" s="769">
        <v>2</v>
      </c>
      <c r="S64" s="691">
        <v>1</v>
      </c>
      <c r="T64" s="761">
        <v>1</v>
      </c>
      <c r="U64" s="762">
        <v>0.5</v>
      </c>
      <c r="V64" s="763">
        <v>0.25</v>
      </c>
      <c r="W64" s="763">
        <v>0.375</v>
      </c>
    </row>
    <row r="65" spans="1:23" x14ac:dyDescent="0.25">
      <c r="A65" s="691" t="s">
        <v>32</v>
      </c>
      <c r="B65" s="759" t="s">
        <v>21</v>
      </c>
      <c r="C65" s="760">
        <v>90</v>
      </c>
      <c r="D65" s="761">
        <v>36</v>
      </c>
      <c r="E65" s="761">
        <v>17</v>
      </c>
      <c r="F65" s="761">
        <v>8</v>
      </c>
      <c r="G65" s="761">
        <v>0</v>
      </c>
      <c r="H65" s="761">
        <v>11</v>
      </c>
      <c r="I65" s="762">
        <v>0.47222222222222221</v>
      </c>
      <c r="J65" s="763">
        <v>0.30555555555555558</v>
      </c>
      <c r="K65" s="763">
        <v>0.22222222222222221</v>
      </c>
      <c r="L65" s="690"/>
      <c r="M65" s="691" t="s">
        <v>32</v>
      </c>
      <c r="N65" s="775" t="s">
        <v>21</v>
      </c>
      <c r="O65" s="760">
        <v>90</v>
      </c>
      <c r="P65" s="761">
        <v>0</v>
      </c>
      <c r="Q65" s="761">
        <v>0</v>
      </c>
      <c r="R65" s="769">
        <v>0</v>
      </c>
      <c r="S65" s="691">
        <v>0</v>
      </c>
      <c r="T65" s="761">
        <v>0</v>
      </c>
      <c r="U65" s="762"/>
      <c r="V65" s="763"/>
      <c r="W65" s="763"/>
    </row>
    <row r="66" spans="1:23" x14ac:dyDescent="0.25">
      <c r="A66" s="691" t="s">
        <v>185</v>
      </c>
      <c r="B66" s="759" t="s">
        <v>40</v>
      </c>
      <c r="C66" s="760">
        <v>91</v>
      </c>
      <c r="D66" s="761">
        <v>27</v>
      </c>
      <c r="E66" s="761">
        <v>8</v>
      </c>
      <c r="F66" s="761">
        <v>3</v>
      </c>
      <c r="G66" s="761">
        <v>0</v>
      </c>
      <c r="H66" s="761">
        <v>16</v>
      </c>
      <c r="I66" s="762">
        <v>0.29629629629629628</v>
      </c>
      <c r="J66" s="763">
        <v>0.59259259259259256</v>
      </c>
      <c r="K66" s="763">
        <v>0.1111111111111111</v>
      </c>
      <c r="L66" s="690"/>
      <c r="M66" s="691" t="s">
        <v>185</v>
      </c>
      <c r="N66" s="775" t="s">
        <v>40</v>
      </c>
      <c r="O66" s="760">
        <v>91</v>
      </c>
      <c r="P66" s="761">
        <v>4</v>
      </c>
      <c r="Q66" s="761">
        <v>1</v>
      </c>
      <c r="R66" s="769">
        <v>1</v>
      </c>
      <c r="S66" s="691">
        <v>0</v>
      </c>
      <c r="T66" s="761">
        <v>2</v>
      </c>
      <c r="U66" s="762">
        <v>0.25</v>
      </c>
      <c r="V66" s="763">
        <v>0.5</v>
      </c>
      <c r="W66" s="763">
        <v>0.25</v>
      </c>
    </row>
    <row r="67" spans="1:23" x14ac:dyDescent="0.25">
      <c r="A67" s="691" t="s">
        <v>55</v>
      </c>
      <c r="B67" s="759" t="s">
        <v>56</v>
      </c>
      <c r="C67" s="760">
        <v>92</v>
      </c>
      <c r="D67" s="761">
        <v>100</v>
      </c>
      <c r="E67" s="761">
        <v>70</v>
      </c>
      <c r="F67" s="761">
        <v>8</v>
      </c>
      <c r="G67" s="761">
        <v>1</v>
      </c>
      <c r="H67" s="761">
        <v>21</v>
      </c>
      <c r="I67" s="762">
        <v>0.7</v>
      </c>
      <c r="J67" s="763">
        <v>0.22</v>
      </c>
      <c r="K67" s="763">
        <v>0.09</v>
      </c>
      <c r="L67" s="690"/>
      <c r="M67" s="691" t="s">
        <v>55</v>
      </c>
      <c r="N67" s="775" t="s">
        <v>56</v>
      </c>
      <c r="O67" s="760">
        <v>92</v>
      </c>
      <c r="P67" s="761">
        <v>9</v>
      </c>
      <c r="Q67" s="761">
        <v>7</v>
      </c>
      <c r="R67" s="769">
        <v>0</v>
      </c>
      <c r="S67" s="691">
        <v>0</v>
      </c>
      <c r="T67" s="761">
        <v>2</v>
      </c>
      <c r="U67" s="762">
        <v>0.77777777777777779</v>
      </c>
      <c r="V67" s="763">
        <v>0.22222222222222221</v>
      </c>
      <c r="W67" s="763">
        <v>0</v>
      </c>
    </row>
    <row r="68" spans="1:23" x14ac:dyDescent="0.25">
      <c r="A68" s="691" t="s">
        <v>44</v>
      </c>
      <c r="B68" s="759" t="s">
        <v>43</v>
      </c>
      <c r="C68" s="760">
        <v>93</v>
      </c>
      <c r="D68" s="761">
        <v>236</v>
      </c>
      <c r="E68" s="761">
        <v>145</v>
      </c>
      <c r="F68" s="761">
        <v>13</v>
      </c>
      <c r="G68" s="761">
        <v>0</v>
      </c>
      <c r="H68" s="761">
        <v>78</v>
      </c>
      <c r="I68" s="762">
        <v>0.61440677966101698</v>
      </c>
      <c r="J68" s="763">
        <v>0.33050847457627119</v>
      </c>
      <c r="K68" s="763">
        <v>5.5084745762711863E-2</v>
      </c>
      <c r="L68" s="690"/>
      <c r="M68" s="691" t="s">
        <v>44</v>
      </c>
      <c r="N68" s="775" t="s">
        <v>43</v>
      </c>
      <c r="O68" s="760">
        <v>93</v>
      </c>
      <c r="P68" s="761">
        <v>21</v>
      </c>
      <c r="Q68" s="761">
        <v>10</v>
      </c>
      <c r="R68" s="769">
        <v>2</v>
      </c>
      <c r="S68" s="691">
        <v>0</v>
      </c>
      <c r="T68" s="761">
        <v>9</v>
      </c>
      <c r="U68" s="762">
        <v>0.47619047619047616</v>
      </c>
      <c r="V68" s="763">
        <v>0.42857142857142855</v>
      </c>
      <c r="W68" s="763">
        <v>9.5238095238095233E-2</v>
      </c>
    </row>
    <row r="69" spans="1:23" x14ac:dyDescent="0.25">
      <c r="A69" s="691" t="s">
        <v>28</v>
      </c>
      <c r="B69" s="766" t="s">
        <v>21</v>
      </c>
      <c r="C69" s="760">
        <v>94</v>
      </c>
      <c r="D69" s="761">
        <v>105</v>
      </c>
      <c r="E69" s="761">
        <v>40</v>
      </c>
      <c r="F69" s="761">
        <v>18</v>
      </c>
      <c r="G69" s="761">
        <v>0</v>
      </c>
      <c r="H69" s="761">
        <v>47</v>
      </c>
      <c r="I69" s="762">
        <v>0.38095238095238093</v>
      </c>
      <c r="J69" s="763">
        <v>0.44761904761904764</v>
      </c>
      <c r="K69" s="763">
        <v>0.17142857142857143</v>
      </c>
      <c r="L69" s="690"/>
      <c r="M69" s="691" t="s">
        <v>28</v>
      </c>
      <c r="N69" s="778" t="s">
        <v>21</v>
      </c>
      <c r="O69" s="760">
        <v>94</v>
      </c>
      <c r="P69" s="761">
        <v>10</v>
      </c>
      <c r="Q69" s="761">
        <v>1</v>
      </c>
      <c r="R69" s="769">
        <v>3</v>
      </c>
      <c r="S69" s="691">
        <v>0</v>
      </c>
      <c r="T69" s="761">
        <v>6</v>
      </c>
      <c r="U69" s="762">
        <v>0.1</v>
      </c>
      <c r="V69" s="763">
        <v>0.6</v>
      </c>
      <c r="W69" s="763">
        <v>0.3</v>
      </c>
    </row>
    <row r="70" spans="1:23" x14ac:dyDescent="0.25">
      <c r="A70" s="691" t="s">
        <v>192</v>
      </c>
      <c r="B70" s="759" t="s">
        <v>43</v>
      </c>
      <c r="C70" s="760">
        <v>96</v>
      </c>
      <c r="D70" s="761">
        <v>213</v>
      </c>
      <c r="E70" s="761">
        <v>125</v>
      </c>
      <c r="F70" s="761">
        <v>17</v>
      </c>
      <c r="G70" s="761">
        <v>3</v>
      </c>
      <c r="H70" s="761">
        <v>68</v>
      </c>
      <c r="I70" s="762">
        <v>0.58685446009389675</v>
      </c>
      <c r="J70" s="763">
        <v>0.33333333333333331</v>
      </c>
      <c r="K70" s="763">
        <v>9.3896713615023469E-2</v>
      </c>
      <c r="L70" s="690"/>
      <c r="M70" s="691" t="s">
        <v>192</v>
      </c>
      <c r="N70" s="775" t="s">
        <v>43</v>
      </c>
      <c r="O70" s="760">
        <v>96</v>
      </c>
      <c r="P70" s="761">
        <v>21</v>
      </c>
      <c r="Q70" s="761">
        <v>13</v>
      </c>
      <c r="R70" s="769">
        <v>3</v>
      </c>
      <c r="S70" s="691">
        <v>0</v>
      </c>
      <c r="T70" s="761">
        <v>5</v>
      </c>
      <c r="U70" s="762">
        <v>0.61904761904761907</v>
      </c>
      <c r="V70" s="763">
        <v>0.23809523809523808</v>
      </c>
      <c r="W70" s="763">
        <v>0.14285714285714285</v>
      </c>
    </row>
    <row r="71" spans="1:23" x14ac:dyDescent="0.25">
      <c r="A71" s="691" t="s">
        <v>57</v>
      </c>
      <c r="B71" s="759" t="s">
        <v>58</v>
      </c>
      <c r="C71" s="760">
        <v>97</v>
      </c>
      <c r="D71" s="761">
        <v>271</v>
      </c>
      <c r="E71" s="761">
        <v>167</v>
      </c>
      <c r="F71" s="761">
        <v>44</v>
      </c>
      <c r="G71" s="761">
        <v>2</v>
      </c>
      <c r="H71" s="761">
        <v>58</v>
      </c>
      <c r="I71" s="762">
        <v>0.6162361623616236</v>
      </c>
      <c r="J71" s="763">
        <v>0.22140221402214022</v>
      </c>
      <c r="K71" s="763">
        <v>0.16974169741697417</v>
      </c>
      <c r="L71" s="690"/>
      <c r="M71" s="691" t="s">
        <v>57</v>
      </c>
      <c r="N71" s="775" t="s">
        <v>58</v>
      </c>
      <c r="O71" s="760">
        <v>97</v>
      </c>
      <c r="P71" s="761">
        <v>28</v>
      </c>
      <c r="Q71" s="761">
        <v>13</v>
      </c>
      <c r="R71" s="769">
        <v>6</v>
      </c>
      <c r="S71" s="691">
        <v>0</v>
      </c>
      <c r="T71" s="761">
        <v>9</v>
      </c>
      <c r="U71" s="762">
        <v>0.4642857142857143</v>
      </c>
      <c r="V71" s="763">
        <v>0.32142857142857145</v>
      </c>
      <c r="W71" s="763">
        <v>0.21428571428571427</v>
      </c>
    </row>
    <row r="72" spans="1:23" x14ac:dyDescent="0.25">
      <c r="A72" s="691" t="s">
        <v>186</v>
      </c>
      <c r="B72" s="759" t="s">
        <v>40</v>
      </c>
      <c r="C72" s="760">
        <v>98</v>
      </c>
      <c r="D72" s="761">
        <v>33</v>
      </c>
      <c r="E72" s="761">
        <v>18</v>
      </c>
      <c r="F72" s="761">
        <v>5</v>
      </c>
      <c r="G72" s="761">
        <v>0</v>
      </c>
      <c r="H72" s="761">
        <v>10</v>
      </c>
      <c r="I72" s="762">
        <v>0.54545454545454541</v>
      </c>
      <c r="J72" s="763">
        <v>0.30303030303030304</v>
      </c>
      <c r="K72" s="763">
        <v>0.15151515151515152</v>
      </c>
      <c r="L72" s="690"/>
      <c r="M72" s="691" t="s">
        <v>186</v>
      </c>
      <c r="N72" s="775" t="s">
        <v>40</v>
      </c>
      <c r="O72" s="760">
        <v>98</v>
      </c>
      <c r="P72" s="761">
        <v>5</v>
      </c>
      <c r="Q72" s="761">
        <v>3</v>
      </c>
      <c r="R72" s="769">
        <v>0</v>
      </c>
      <c r="S72" s="691">
        <v>0</v>
      </c>
      <c r="T72" s="761">
        <v>2</v>
      </c>
      <c r="U72" s="762">
        <v>0.6</v>
      </c>
      <c r="V72" s="763">
        <v>0.4</v>
      </c>
      <c r="W72" s="763">
        <v>0</v>
      </c>
    </row>
    <row r="73" spans="1:23" x14ac:dyDescent="0.25">
      <c r="A73" s="691" t="s">
        <v>9</v>
      </c>
      <c r="B73" s="759" t="s">
        <v>5</v>
      </c>
      <c r="C73" s="760">
        <v>99</v>
      </c>
      <c r="D73" s="761">
        <v>45</v>
      </c>
      <c r="E73" s="761">
        <v>25</v>
      </c>
      <c r="F73" s="761">
        <v>7</v>
      </c>
      <c r="G73" s="761">
        <v>0</v>
      </c>
      <c r="H73" s="761">
        <v>13</v>
      </c>
      <c r="I73" s="762">
        <v>0.55555555555555558</v>
      </c>
      <c r="J73" s="763">
        <v>0.28888888888888886</v>
      </c>
      <c r="K73" s="763">
        <v>0.15555555555555556</v>
      </c>
      <c r="L73" s="690"/>
      <c r="M73" s="691" t="s">
        <v>9</v>
      </c>
      <c r="N73" s="775" t="s">
        <v>5</v>
      </c>
      <c r="O73" s="760">
        <v>99</v>
      </c>
      <c r="P73" s="761">
        <v>6</v>
      </c>
      <c r="Q73" s="761">
        <v>4</v>
      </c>
      <c r="R73" s="769">
        <v>1</v>
      </c>
      <c r="S73" s="691">
        <v>0</v>
      </c>
      <c r="T73" s="761">
        <v>1</v>
      </c>
      <c r="U73" s="762">
        <v>0.66666666666666663</v>
      </c>
      <c r="V73" s="763">
        <v>0.16666666666666666</v>
      </c>
      <c r="W73" s="763">
        <v>0.16666666666666666</v>
      </c>
    </row>
    <row r="74" spans="1:23" x14ac:dyDescent="0.25">
      <c r="A74" s="691" t="s">
        <v>195</v>
      </c>
      <c r="B74" s="759" t="s">
        <v>52</v>
      </c>
      <c r="C74" s="760">
        <v>101</v>
      </c>
      <c r="D74" s="761">
        <v>25</v>
      </c>
      <c r="E74" s="761">
        <v>14</v>
      </c>
      <c r="F74" s="761">
        <v>7</v>
      </c>
      <c r="G74" s="761">
        <v>0</v>
      </c>
      <c r="H74" s="761">
        <v>4</v>
      </c>
      <c r="I74" s="762">
        <v>0.56000000000000005</v>
      </c>
      <c r="J74" s="763">
        <v>0.16</v>
      </c>
      <c r="K74" s="763">
        <v>0.28000000000000003</v>
      </c>
      <c r="L74" s="690"/>
      <c r="M74" s="691" t="s">
        <v>195</v>
      </c>
      <c r="N74" s="775" t="s">
        <v>52</v>
      </c>
      <c r="O74" s="760">
        <v>101</v>
      </c>
      <c r="P74" s="761">
        <v>1</v>
      </c>
      <c r="Q74" s="761">
        <v>0</v>
      </c>
      <c r="R74" s="769">
        <v>1</v>
      </c>
      <c r="S74" s="691">
        <v>0</v>
      </c>
      <c r="T74" s="761">
        <v>0</v>
      </c>
      <c r="U74" s="762">
        <v>0</v>
      </c>
      <c r="V74" s="763">
        <v>0</v>
      </c>
      <c r="W74" s="763">
        <v>1</v>
      </c>
    </row>
    <row r="75" spans="1:23" x14ac:dyDescent="0.25">
      <c r="A75" s="691" t="s">
        <v>196</v>
      </c>
      <c r="B75" s="759" t="s">
        <v>52</v>
      </c>
      <c r="C75" s="760">
        <v>102</v>
      </c>
      <c r="D75" s="761">
        <v>19</v>
      </c>
      <c r="E75" s="761">
        <v>8</v>
      </c>
      <c r="F75" s="761">
        <v>2</v>
      </c>
      <c r="G75" s="761">
        <v>0</v>
      </c>
      <c r="H75" s="761">
        <v>9</v>
      </c>
      <c r="I75" s="762">
        <v>0.42105263157894735</v>
      </c>
      <c r="J75" s="763">
        <v>0.47368421052631576</v>
      </c>
      <c r="K75" s="763">
        <v>0.10526315789473684</v>
      </c>
      <c r="L75" s="690"/>
      <c r="M75" s="691" t="s">
        <v>196</v>
      </c>
      <c r="N75" s="775" t="s">
        <v>52</v>
      </c>
      <c r="O75" s="760">
        <v>102</v>
      </c>
      <c r="P75" s="761">
        <v>3</v>
      </c>
      <c r="Q75" s="761">
        <v>1</v>
      </c>
      <c r="R75" s="769">
        <v>0</v>
      </c>
      <c r="S75" s="691">
        <v>0</v>
      </c>
      <c r="T75" s="761">
        <v>2</v>
      </c>
      <c r="U75" s="762">
        <v>0.33333333333333331</v>
      </c>
      <c r="V75" s="763">
        <v>0.66666666666666663</v>
      </c>
      <c r="W75" s="763">
        <v>0</v>
      </c>
    </row>
    <row r="76" spans="1:23" x14ac:dyDescent="0.25">
      <c r="A76" s="691" t="s">
        <v>45</v>
      </c>
      <c r="B76" s="759" t="s">
        <v>43</v>
      </c>
      <c r="C76" s="760">
        <v>103</v>
      </c>
      <c r="D76" s="761">
        <v>61</v>
      </c>
      <c r="E76" s="761">
        <v>19</v>
      </c>
      <c r="F76" s="761">
        <v>1</v>
      </c>
      <c r="G76" s="761">
        <v>0</v>
      </c>
      <c r="H76" s="761">
        <v>41</v>
      </c>
      <c r="I76" s="762">
        <v>0.31147540983606559</v>
      </c>
      <c r="J76" s="763">
        <v>0.67213114754098358</v>
      </c>
      <c r="K76" s="763">
        <v>1.6393442622950821E-2</v>
      </c>
      <c r="L76" s="690"/>
      <c r="M76" s="691" t="s">
        <v>45</v>
      </c>
      <c r="N76" s="775" t="s">
        <v>43</v>
      </c>
      <c r="O76" s="760">
        <v>103</v>
      </c>
      <c r="P76" s="761">
        <v>6</v>
      </c>
      <c r="Q76" s="761">
        <v>0</v>
      </c>
      <c r="R76" s="769">
        <v>0</v>
      </c>
      <c r="S76" s="691">
        <v>0</v>
      </c>
      <c r="T76" s="761">
        <v>6</v>
      </c>
      <c r="U76" s="762">
        <v>0</v>
      </c>
      <c r="V76" s="763">
        <v>1</v>
      </c>
      <c r="W76" s="763">
        <v>0</v>
      </c>
    </row>
    <row r="77" spans="1:23" x14ac:dyDescent="0.25">
      <c r="A77" s="691" t="s">
        <v>59</v>
      </c>
      <c r="B77" s="759" t="s">
        <v>60</v>
      </c>
      <c r="C77" s="760">
        <v>105</v>
      </c>
      <c r="D77" s="761">
        <v>45</v>
      </c>
      <c r="E77" s="761">
        <v>17</v>
      </c>
      <c r="F77" s="761">
        <v>6</v>
      </c>
      <c r="G77" s="761">
        <v>1</v>
      </c>
      <c r="H77" s="761">
        <v>21</v>
      </c>
      <c r="I77" s="762">
        <v>0.37777777777777777</v>
      </c>
      <c r="J77" s="763">
        <v>0.48888888888888887</v>
      </c>
      <c r="K77" s="763">
        <v>0.15555555555555556</v>
      </c>
      <c r="L77" s="690"/>
      <c r="M77" s="691" t="s">
        <v>59</v>
      </c>
      <c r="N77" s="775" t="s">
        <v>60</v>
      </c>
      <c r="O77" s="760">
        <v>105</v>
      </c>
      <c r="P77" s="761">
        <v>3</v>
      </c>
      <c r="Q77" s="761">
        <v>0</v>
      </c>
      <c r="R77" s="769">
        <v>0</v>
      </c>
      <c r="S77" s="691">
        <v>0</v>
      </c>
      <c r="T77" s="761">
        <v>3</v>
      </c>
      <c r="U77" s="762">
        <v>0</v>
      </c>
      <c r="V77" s="763">
        <v>1</v>
      </c>
      <c r="W77" s="763">
        <v>0</v>
      </c>
    </row>
    <row r="78" spans="1:23" x14ac:dyDescent="0.25">
      <c r="A78" s="691" t="s">
        <v>86</v>
      </c>
      <c r="B78" s="764" t="s">
        <v>5</v>
      </c>
      <c r="C78" s="760">
        <v>519</v>
      </c>
      <c r="D78" s="761">
        <v>19</v>
      </c>
      <c r="E78" s="761">
        <v>14</v>
      </c>
      <c r="F78" s="761">
        <v>0</v>
      </c>
      <c r="G78" s="761">
        <v>1</v>
      </c>
      <c r="H78" s="761">
        <v>4</v>
      </c>
      <c r="I78" s="762">
        <v>0.73684210526315785</v>
      </c>
      <c r="J78" s="763">
        <v>0.26315789473684209</v>
      </c>
      <c r="K78" s="763">
        <v>5.2631578947368418E-2</v>
      </c>
      <c r="L78" s="690"/>
      <c r="M78" s="691" t="s">
        <v>86</v>
      </c>
      <c r="N78" s="776" t="s">
        <v>5</v>
      </c>
      <c r="O78" s="760">
        <v>519</v>
      </c>
      <c r="P78" s="761">
        <v>1</v>
      </c>
      <c r="Q78" s="761">
        <v>0</v>
      </c>
      <c r="R78" s="769">
        <v>0</v>
      </c>
      <c r="S78" s="691">
        <v>0</v>
      </c>
      <c r="T78" s="761">
        <v>1</v>
      </c>
      <c r="U78" s="762">
        <v>0</v>
      </c>
      <c r="V78" s="763">
        <v>1</v>
      </c>
      <c r="W78" s="763">
        <v>0</v>
      </c>
    </row>
    <row r="79" spans="1:23" x14ac:dyDescent="0.25">
      <c r="A79" s="691" t="s">
        <v>61</v>
      </c>
      <c r="B79" s="759" t="s">
        <v>62</v>
      </c>
      <c r="C79" s="760">
        <v>107</v>
      </c>
      <c r="D79" s="761">
        <v>97</v>
      </c>
      <c r="E79" s="761">
        <v>61</v>
      </c>
      <c r="F79" s="761">
        <v>9</v>
      </c>
      <c r="G79" s="761">
        <v>0</v>
      </c>
      <c r="H79" s="761">
        <v>27</v>
      </c>
      <c r="I79" s="762">
        <v>0.62886597938144329</v>
      </c>
      <c r="J79" s="763">
        <v>0.27835051546391754</v>
      </c>
      <c r="K79" s="763">
        <v>9.2783505154639179E-2</v>
      </c>
      <c r="L79" s="690"/>
      <c r="M79" s="691" t="s">
        <v>61</v>
      </c>
      <c r="N79" s="775" t="s">
        <v>62</v>
      </c>
      <c r="O79" s="760">
        <v>107</v>
      </c>
      <c r="P79" s="761">
        <v>6</v>
      </c>
      <c r="Q79" s="761">
        <v>2</v>
      </c>
      <c r="R79" s="769">
        <v>0</v>
      </c>
      <c r="S79" s="691">
        <v>0</v>
      </c>
      <c r="T79" s="761">
        <v>4</v>
      </c>
      <c r="U79" s="762">
        <v>0.33333333333333331</v>
      </c>
      <c r="V79" s="763">
        <v>0.66666666666666663</v>
      </c>
      <c r="W79" s="763">
        <v>0</v>
      </c>
    </row>
    <row r="80" spans="1:23" x14ac:dyDescent="0.25">
      <c r="A80" s="691" t="s">
        <v>34</v>
      </c>
      <c r="B80" s="759" t="s">
        <v>21</v>
      </c>
      <c r="C80" s="760">
        <v>108</v>
      </c>
      <c r="D80" s="761">
        <v>22</v>
      </c>
      <c r="E80" s="761">
        <v>3</v>
      </c>
      <c r="F80" s="761">
        <v>3</v>
      </c>
      <c r="G80" s="761">
        <v>0</v>
      </c>
      <c r="H80" s="761">
        <v>16</v>
      </c>
      <c r="I80" s="762">
        <v>0.13636363636363635</v>
      </c>
      <c r="J80" s="763">
        <v>0.72727272727272729</v>
      </c>
      <c r="K80" s="763">
        <v>0.13636363636363635</v>
      </c>
      <c r="L80" s="690"/>
      <c r="M80" s="691" t="s">
        <v>34</v>
      </c>
      <c r="N80" s="775" t="s">
        <v>21</v>
      </c>
      <c r="O80" s="760">
        <v>108</v>
      </c>
      <c r="P80" s="761">
        <v>0</v>
      </c>
      <c r="Q80" s="761">
        <v>0</v>
      </c>
      <c r="R80" s="769">
        <v>0</v>
      </c>
      <c r="S80" s="691">
        <v>0</v>
      </c>
      <c r="T80" s="761">
        <v>0</v>
      </c>
      <c r="U80" s="762"/>
      <c r="V80" s="763"/>
      <c r="W80" s="763"/>
    </row>
    <row r="81" spans="1:23" x14ac:dyDescent="0.25">
      <c r="A81" s="691" t="s">
        <v>25</v>
      </c>
      <c r="B81" s="759" t="s">
        <v>21</v>
      </c>
      <c r="C81" s="760">
        <v>110</v>
      </c>
      <c r="D81" s="761">
        <v>143</v>
      </c>
      <c r="E81" s="761">
        <v>66</v>
      </c>
      <c r="F81" s="761">
        <v>43</v>
      </c>
      <c r="G81" s="761">
        <v>1</v>
      </c>
      <c r="H81" s="761">
        <v>33</v>
      </c>
      <c r="I81" s="762">
        <v>0.46153846153846156</v>
      </c>
      <c r="J81" s="763">
        <v>0.23776223776223776</v>
      </c>
      <c r="K81" s="763">
        <v>0.30769230769230771</v>
      </c>
      <c r="L81" s="690"/>
      <c r="M81" s="691" t="s">
        <v>25</v>
      </c>
      <c r="N81" s="775" t="s">
        <v>21</v>
      </c>
      <c r="O81" s="760">
        <v>110</v>
      </c>
      <c r="P81" s="761">
        <v>7</v>
      </c>
      <c r="Q81" s="761">
        <v>3</v>
      </c>
      <c r="R81" s="769">
        <v>3</v>
      </c>
      <c r="S81" s="691">
        <v>0</v>
      </c>
      <c r="T81" s="761">
        <v>1</v>
      </c>
      <c r="U81" s="762">
        <v>0.42857142857142855</v>
      </c>
      <c r="V81" s="763">
        <v>0.14285714285714285</v>
      </c>
      <c r="W81" s="763">
        <v>0.42857142857142855</v>
      </c>
    </row>
    <row r="82" spans="1:23" x14ac:dyDescent="0.25">
      <c r="A82" s="691" t="s">
        <v>7</v>
      </c>
      <c r="B82" s="759" t="s">
        <v>5</v>
      </c>
      <c r="C82" s="760">
        <v>112</v>
      </c>
      <c r="D82" s="761">
        <v>31</v>
      </c>
      <c r="E82" s="761">
        <v>17</v>
      </c>
      <c r="F82" s="761">
        <v>4</v>
      </c>
      <c r="G82" s="761">
        <v>0</v>
      </c>
      <c r="H82" s="761">
        <v>10</v>
      </c>
      <c r="I82" s="762">
        <v>0.54838709677419351</v>
      </c>
      <c r="J82" s="763">
        <v>0.32258064516129031</v>
      </c>
      <c r="K82" s="763">
        <v>0.12903225806451613</v>
      </c>
      <c r="L82" s="690"/>
      <c r="M82" s="691" t="s">
        <v>7</v>
      </c>
      <c r="N82" s="775" t="s">
        <v>5</v>
      </c>
      <c r="O82" s="760">
        <v>112</v>
      </c>
      <c r="P82" s="761">
        <v>0</v>
      </c>
      <c r="Q82" s="761">
        <v>0</v>
      </c>
      <c r="R82" s="769">
        <v>0</v>
      </c>
      <c r="S82" s="691">
        <v>0</v>
      </c>
      <c r="T82" s="761">
        <v>0</v>
      </c>
      <c r="U82" s="762"/>
      <c r="V82" s="763"/>
      <c r="W82" s="763"/>
    </row>
    <row r="83" spans="1:23" x14ac:dyDescent="0.25">
      <c r="A83" s="691" t="s">
        <v>11</v>
      </c>
      <c r="B83" s="759" t="s">
        <v>5</v>
      </c>
      <c r="C83" s="760">
        <v>113</v>
      </c>
      <c r="D83" s="761">
        <v>30</v>
      </c>
      <c r="E83" s="761">
        <v>21</v>
      </c>
      <c r="F83" s="761">
        <v>3</v>
      </c>
      <c r="G83" s="761">
        <v>0</v>
      </c>
      <c r="H83" s="761">
        <v>6</v>
      </c>
      <c r="I83" s="762">
        <v>0.7</v>
      </c>
      <c r="J83" s="763">
        <v>0.2</v>
      </c>
      <c r="K83" s="763">
        <v>0.1</v>
      </c>
      <c r="L83" s="690"/>
      <c r="M83" s="691" t="s">
        <v>11</v>
      </c>
      <c r="N83" s="775" t="s">
        <v>5</v>
      </c>
      <c r="O83" s="760">
        <v>113</v>
      </c>
      <c r="P83" s="761">
        <v>0</v>
      </c>
      <c r="Q83" s="761">
        <v>0</v>
      </c>
      <c r="R83" s="769">
        <v>0</v>
      </c>
      <c r="S83" s="691">
        <v>0</v>
      </c>
      <c r="T83" s="761">
        <v>0</v>
      </c>
      <c r="U83" s="762"/>
      <c r="V83" s="763"/>
      <c r="W83" s="763"/>
    </row>
    <row r="84" spans="1:23" x14ac:dyDescent="0.25">
      <c r="A84" s="691" t="s">
        <v>31</v>
      </c>
      <c r="B84" s="759" t="s">
        <v>21</v>
      </c>
      <c r="C84" s="760" t="s">
        <v>163</v>
      </c>
      <c r="D84" s="761">
        <v>106</v>
      </c>
      <c r="E84" s="761">
        <v>26</v>
      </c>
      <c r="F84" s="761">
        <v>19</v>
      </c>
      <c r="G84" s="761">
        <v>3</v>
      </c>
      <c r="H84" s="761">
        <v>58</v>
      </c>
      <c r="I84" s="762">
        <v>0.24528301886792453</v>
      </c>
      <c r="J84" s="763">
        <v>0.57547169811320753</v>
      </c>
      <c r="K84" s="763">
        <v>0.20754716981132076</v>
      </c>
      <c r="L84" s="690"/>
      <c r="M84" s="691" t="s">
        <v>31</v>
      </c>
      <c r="N84" s="775" t="s">
        <v>21</v>
      </c>
      <c r="O84" s="760" t="s">
        <v>163</v>
      </c>
      <c r="P84" s="761">
        <v>12</v>
      </c>
      <c r="Q84" s="761">
        <v>1</v>
      </c>
      <c r="R84" s="769">
        <v>1</v>
      </c>
      <c r="S84" s="691">
        <v>1</v>
      </c>
      <c r="T84" s="761">
        <v>9</v>
      </c>
      <c r="U84" s="762">
        <v>8.3333333333333329E-2</v>
      </c>
      <c r="V84" s="763">
        <v>0.83333333333333337</v>
      </c>
      <c r="W84" s="763">
        <v>0.16666666666666666</v>
      </c>
    </row>
    <row r="85" spans="1:23" x14ac:dyDescent="0.25">
      <c r="A85" s="691" t="s">
        <v>178</v>
      </c>
      <c r="B85" s="759" t="s">
        <v>21</v>
      </c>
      <c r="C85" s="760">
        <v>115</v>
      </c>
      <c r="D85" s="761">
        <v>84</v>
      </c>
      <c r="E85" s="761">
        <v>43</v>
      </c>
      <c r="F85" s="761">
        <v>11</v>
      </c>
      <c r="G85" s="761">
        <v>0</v>
      </c>
      <c r="H85" s="761">
        <v>30</v>
      </c>
      <c r="I85" s="762">
        <v>0.51190476190476186</v>
      </c>
      <c r="J85" s="763">
        <v>0.35714285714285715</v>
      </c>
      <c r="K85" s="763">
        <v>0.13095238095238096</v>
      </c>
      <c r="L85" s="690"/>
      <c r="M85" s="691" t="s">
        <v>178</v>
      </c>
      <c r="N85" s="775" t="s">
        <v>21</v>
      </c>
      <c r="O85" s="760">
        <v>115</v>
      </c>
      <c r="P85" s="761">
        <v>8</v>
      </c>
      <c r="Q85" s="761">
        <v>3</v>
      </c>
      <c r="R85" s="769">
        <v>1</v>
      </c>
      <c r="S85" s="691">
        <v>0</v>
      </c>
      <c r="T85" s="761">
        <v>5</v>
      </c>
      <c r="U85" s="762">
        <v>0.375</v>
      </c>
      <c r="V85" s="763">
        <v>0.5</v>
      </c>
      <c r="W85" s="763">
        <v>0.125</v>
      </c>
    </row>
    <row r="86" spans="1:23" x14ac:dyDescent="0.25">
      <c r="A86" s="691" t="s">
        <v>23</v>
      </c>
      <c r="B86" s="759" t="s">
        <v>63</v>
      </c>
      <c r="C86" s="760">
        <v>115</v>
      </c>
      <c r="D86" s="761">
        <v>73</v>
      </c>
      <c r="E86" s="761">
        <v>41</v>
      </c>
      <c r="F86" s="761">
        <v>23</v>
      </c>
      <c r="G86" s="761">
        <v>0</v>
      </c>
      <c r="H86" s="761">
        <v>9</v>
      </c>
      <c r="I86" s="762">
        <v>0.56164383561643838</v>
      </c>
      <c r="J86" s="763">
        <v>0.12328767123287671</v>
      </c>
      <c r="K86" s="763">
        <v>0.31506849315068491</v>
      </c>
      <c r="L86" s="690"/>
      <c r="M86" s="691" t="s">
        <v>23</v>
      </c>
      <c r="N86" s="775" t="s">
        <v>63</v>
      </c>
      <c r="O86" s="760">
        <v>115</v>
      </c>
      <c r="P86" s="761">
        <v>9</v>
      </c>
      <c r="Q86" s="761">
        <v>2</v>
      </c>
      <c r="R86" s="769">
        <v>5</v>
      </c>
      <c r="S86" s="691">
        <v>0</v>
      </c>
      <c r="T86" s="761">
        <v>1</v>
      </c>
      <c r="U86" s="762">
        <v>0.22222222222222221</v>
      </c>
      <c r="V86" s="763">
        <v>0.22222222222222221</v>
      </c>
      <c r="W86" s="763">
        <v>0.55555555555555558</v>
      </c>
    </row>
    <row r="87" spans="1:23" x14ac:dyDescent="0.25">
      <c r="A87" s="691" t="s">
        <v>168</v>
      </c>
      <c r="B87" s="759" t="s">
        <v>63</v>
      </c>
      <c r="C87" s="760">
        <v>116</v>
      </c>
      <c r="D87" s="761">
        <v>0</v>
      </c>
      <c r="E87" s="761">
        <v>0</v>
      </c>
      <c r="F87" s="761">
        <v>0</v>
      </c>
      <c r="G87" s="761">
        <v>0</v>
      </c>
      <c r="H87" s="761">
        <v>0</v>
      </c>
      <c r="I87" s="762"/>
      <c r="J87" s="763"/>
      <c r="K87" s="763"/>
      <c r="L87" s="690"/>
      <c r="M87" s="691" t="s">
        <v>168</v>
      </c>
      <c r="N87" s="775" t="s">
        <v>63</v>
      </c>
      <c r="O87" s="760">
        <v>116</v>
      </c>
      <c r="P87" s="761">
        <v>0</v>
      </c>
      <c r="Q87" s="761">
        <v>0</v>
      </c>
      <c r="R87" s="769">
        <v>0</v>
      </c>
      <c r="S87" s="691">
        <v>0</v>
      </c>
      <c r="T87" s="761">
        <v>0</v>
      </c>
      <c r="U87" s="762"/>
      <c r="V87" s="763"/>
      <c r="W87" s="763"/>
    </row>
    <row r="88" spans="1:23" x14ac:dyDescent="0.25">
      <c r="A88" s="691" t="s">
        <v>64</v>
      </c>
      <c r="B88" s="759" t="s">
        <v>63</v>
      </c>
      <c r="C88" s="760">
        <v>120</v>
      </c>
      <c r="D88" s="761">
        <v>42</v>
      </c>
      <c r="E88" s="761">
        <v>22</v>
      </c>
      <c r="F88" s="761">
        <v>8</v>
      </c>
      <c r="G88" s="761">
        <v>1</v>
      </c>
      <c r="H88" s="761">
        <v>11</v>
      </c>
      <c r="I88" s="762">
        <v>0.52380952380952384</v>
      </c>
      <c r="J88" s="763">
        <v>0.2857142857142857</v>
      </c>
      <c r="K88" s="763">
        <v>0.21428571428571427</v>
      </c>
      <c r="L88" s="690"/>
      <c r="M88" s="691" t="s">
        <v>64</v>
      </c>
      <c r="N88" s="775" t="s">
        <v>63</v>
      </c>
      <c r="O88" s="760">
        <v>120</v>
      </c>
      <c r="P88" s="761">
        <v>5</v>
      </c>
      <c r="Q88" s="761">
        <v>2</v>
      </c>
      <c r="R88" s="769">
        <v>3</v>
      </c>
      <c r="S88" s="691">
        <v>0</v>
      </c>
      <c r="T88" s="761">
        <v>0</v>
      </c>
      <c r="U88" s="762">
        <v>0.4</v>
      </c>
      <c r="V88" s="763">
        <v>0</v>
      </c>
      <c r="W88" s="763">
        <v>0.6</v>
      </c>
    </row>
    <row r="89" spans="1:23" x14ac:dyDescent="0.25">
      <c r="A89" s="691" t="s">
        <v>70</v>
      </c>
      <c r="B89" s="759" t="s">
        <v>21</v>
      </c>
      <c r="C89" s="760" t="s">
        <v>166</v>
      </c>
      <c r="D89" s="761">
        <v>25</v>
      </c>
      <c r="E89" s="761">
        <v>8</v>
      </c>
      <c r="F89" s="761">
        <v>3</v>
      </c>
      <c r="G89" s="761">
        <v>3</v>
      </c>
      <c r="H89" s="761">
        <v>11</v>
      </c>
      <c r="I89" s="762">
        <v>0.32</v>
      </c>
      <c r="J89" s="763">
        <v>0.56000000000000005</v>
      </c>
      <c r="K89" s="763">
        <v>0.24</v>
      </c>
      <c r="L89" s="690"/>
      <c r="M89" s="691" t="s">
        <v>70</v>
      </c>
      <c r="N89" s="775" t="s">
        <v>21</v>
      </c>
      <c r="O89" s="760" t="s">
        <v>166</v>
      </c>
      <c r="P89" s="761">
        <v>2</v>
      </c>
      <c r="Q89" s="761">
        <v>0</v>
      </c>
      <c r="R89" s="769">
        <v>0</v>
      </c>
      <c r="S89" s="691">
        <v>2</v>
      </c>
      <c r="T89" s="761">
        <v>0</v>
      </c>
      <c r="U89" s="762">
        <v>0</v>
      </c>
      <c r="V89" s="763">
        <v>1</v>
      </c>
      <c r="W89" s="763">
        <v>1</v>
      </c>
    </row>
    <row r="90" spans="1:23" x14ac:dyDescent="0.25">
      <c r="A90" s="691" t="s">
        <v>187</v>
      </c>
      <c r="B90" s="759" t="s">
        <v>40</v>
      </c>
      <c r="C90" s="760">
        <v>122</v>
      </c>
      <c r="D90" s="761">
        <v>21</v>
      </c>
      <c r="E90" s="761">
        <v>7</v>
      </c>
      <c r="F90" s="761">
        <v>3</v>
      </c>
      <c r="G90" s="761">
        <v>0</v>
      </c>
      <c r="H90" s="761">
        <v>11</v>
      </c>
      <c r="I90" s="762">
        <v>0.33333333333333331</v>
      </c>
      <c r="J90" s="763">
        <v>0.52380952380952384</v>
      </c>
      <c r="K90" s="763">
        <v>0.14285714285714285</v>
      </c>
      <c r="L90" s="690"/>
      <c r="M90" s="691" t="s">
        <v>187</v>
      </c>
      <c r="N90" s="775" t="s">
        <v>40</v>
      </c>
      <c r="O90" s="760">
        <v>122</v>
      </c>
      <c r="P90" s="761">
        <v>1</v>
      </c>
      <c r="Q90" s="761">
        <v>0</v>
      </c>
      <c r="R90" s="769">
        <v>1</v>
      </c>
      <c r="S90" s="691">
        <v>0</v>
      </c>
      <c r="T90" s="761">
        <v>0</v>
      </c>
      <c r="U90" s="762">
        <v>0</v>
      </c>
      <c r="V90" s="763">
        <v>0</v>
      </c>
      <c r="W90" s="763">
        <v>1</v>
      </c>
    </row>
    <row r="91" spans="1:23" x14ac:dyDescent="0.25">
      <c r="A91" s="691" t="s">
        <v>179</v>
      </c>
      <c r="B91" s="759" t="s">
        <v>21</v>
      </c>
      <c r="C91" s="760">
        <v>123</v>
      </c>
      <c r="D91" s="761">
        <v>7</v>
      </c>
      <c r="E91" s="761">
        <v>6</v>
      </c>
      <c r="F91" s="761">
        <v>1</v>
      </c>
      <c r="G91" s="761">
        <v>0</v>
      </c>
      <c r="H91" s="761">
        <v>1</v>
      </c>
      <c r="I91" s="762">
        <v>0.8571428571428571</v>
      </c>
      <c r="J91" s="763">
        <v>0</v>
      </c>
      <c r="K91" s="763">
        <v>0.14285714285714285</v>
      </c>
      <c r="L91" s="690"/>
      <c r="M91" s="691" t="s">
        <v>179</v>
      </c>
      <c r="N91" s="775" t="s">
        <v>21</v>
      </c>
      <c r="O91" s="760">
        <v>123</v>
      </c>
      <c r="P91" s="761">
        <v>0</v>
      </c>
      <c r="Q91" s="761">
        <v>0</v>
      </c>
      <c r="R91" s="769">
        <v>0</v>
      </c>
      <c r="S91" s="691">
        <v>0</v>
      </c>
      <c r="T91" s="761">
        <v>0</v>
      </c>
      <c r="U91" s="762"/>
      <c r="V91" s="763"/>
      <c r="W91" s="763"/>
    </row>
    <row r="92" spans="1:23" x14ac:dyDescent="0.25">
      <c r="A92" s="691" t="s">
        <v>152</v>
      </c>
      <c r="B92" s="759" t="s">
        <v>21</v>
      </c>
      <c r="C92" s="760" t="s">
        <v>158</v>
      </c>
      <c r="D92" s="761">
        <v>34</v>
      </c>
      <c r="E92" s="761">
        <v>16</v>
      </c>
      <c r="F92" s="761">
        <v>8</v>
      </c>
      <c r="G92" s="761">
        <v>0</v>
      </c>
      <c r="H92" s="761">
        <v>9</v>
      </c>
      <c r="I92" s="762">
        <v>0.47058823529411764</v>
      </c>
      <c r="J92" s="763">
        <v>0.29411764705882354</v>
      </c>
      <c r="K92" s="763">
        <v>0.23529411764705882</v>
      </c>
      <c r="L92" s="690"/>
      <c r="M92" s="691" t="s">
        <v>152</v>
      </c>
      <c r="N92" s="775" t="s">
        <v>21</v>
      </c>
      <c r="O92" s="760" t="s">
        <v>158</v>
      </c>
      <c r="P92" s="761">
        <v>10</v>
      </c>
      <c r="Q92" s="761">
        <v>5</v>
      </c>
      <c r="R92" s="769">
        <v>3</v>
      </c>
      <c r="S92" s="691">
        <v>0</v>
      </c>
      <c r="T92" s="761">
        <v>2</v>
      </c>
      <c r="U92" s="762">
        <v>0.5</v>
      </c>
      <c r="V92" s="763">
        <v>0.2</v>
      </c>
      <c r="W92" s="763">
        <v>0.3</v>
      </c>
    </row>
    <row r="93" spans="1:23" x14ac:dyDescent="0.25">
      <c r="A93" s="691" t="s">
        <v>188</v>
      </c>
      <c r="B93" s="765" t="s">
        <v>40</v>
      </c>
      <c r="C93" s="760">
        <v>124</v>
      </c>
      <c r="D93" s="761">
        <v>10</v>
      </c>
      <c r="E93" s="761">
        <v>6</v>
      </c>
      <c r="F93" s="761">
        <v>1</v>
      </c>
      <c r="G93" s="761">
        <v>0</v>
      </c>
      <c r="H93" s="761">
        <v>3</v>
      </c>
      <c r="I93" s="762">
        <v>0.6</v>
      </c>
      <c r="J93" s="763">
        <v>0.3</v>
      </c>
      <c r="K93" s="763">
        <v>0.1</v>
      </c>
      <c r="L93" s="690"/>
      <c r="M93" s="691" t="s">
        <v>188</v>
      </c>
      <c r="N93" s="777" t="s">
        <v>40</v>
      </c>
      <c r="O93" s="760">
        <v>124</v>
      </c>
      <c r="P93" s="761">
        <v>0</v>
      </c>
      <c r="Q93" s="761">
        <v>0</v>
      </c>
      <c r="R93" s="769">
        <v>0</v>
      </c>
      <c r="S93" s="691">
        <v>0</v>
      </c>
      <c r="T93" s="761">
        <v>0</v>
      </c>
      <c r="U93" s="762"/>
      <c r="V93" s="763"/>
      <c r="W93" s="763"/>
    </row>
    <row r="94" spans="1:23" x14ac:dyDescent="0.25">
      <c r="A94" s="691" t="s">
        <v>189</v>
      </c>
      <c r="B94" s="759" t="s">
        <v>40</v>
      </c>
      <c r="C94" s="760">
        <v>125</v>
      </c>
      <c r="D94" s="761">
        <v>35</v>
      </c>
      <c r="E94" s="761">
        <v>20</v>
      </c>
      <c r="F94" s="761">
        <v>12</v>
      </c>
      <c r="G94" s="761">
        <v>0</v>
      </c>
      <c r="H94" s="761">
        <v>3</v>
      </c>
      <c r="I94" s="762">
        <v>0.5714285714285714</v>
      </c>
      <c r="J94" s="763">
        <v>8.5714285714285715E-2</v>
      </c>
      <c r="K94" s="763">
        <v>0.34285714285714286</v>
      </c>
      <c r="L94" s="690"/>
      <c r="M94" s="691" t="s">
        <v>189</v>
      </c>
      <c r="N94" s="775" t="s">
        <v>40</v>
      </c>
      <c r="O94" s="760">
        <v>125</v>
      </c>
      <c r="P94" s="761">
        <v>9</v>
      </c>
      <c r="Q94" s="761">
        <v>4</v>
      </c>
      <c r="R94" s="769">
        <v>4</v>
      </c>
      <c r="S94" s="691">
        <v>0</v>
      </c>
      <c r="T94" s="761">
        <v>1</v>
      </c>
      <c r="U94" s="762">
        <v>0.44444444444444442</v>
      </c>
      <c r="V94" s="763">
        <v>0.1111111111111111</v>
      </c>
      <c r="W94" s="763">
        <v>0.44444444444444442</v>
      </c>
    </row>
    <row r="95" spans="1:23" x14ac:dyDescent="0.25">
      <c r="A95" s="691" t="s">
        <v>180</v>
      </c>
      <c r="B95" s="759" t="s">
        <v>21</v>
      </c>
      <c r="C95" s="760">
        <v>128</v>
      </c>
      <c r="D95" s="761">
        <v>48</v>
      </c>
      <c r="E95" s="761">
        <v>21</v>
      </c>
      <c r="F95" s="761">
        <v>12</v>
      </c>
      <c r="G95" s="761">
        <v>4</v>
      </c>
      <c r="H95" s="761">
        <v>11</v>
      </c>
      <c r="I95" s="762">
        <v>0.4375</v>
      </c>
      <c r="J95" s="763">
        <v>0.3125</v>
      </c>
      <c r="K95" s="763">
        <v>0.33333333333333331</v>
      </c>
      <c r="L95" s="690"/>
      <c r="M95" s="691" t="s">
        <v>180</v>
      </c>
      <c r="N95" s="775" t="s">
        <v>21</v>
      </c>
      <c r="O95" s="760">
        <v>128</v>
      </c>
      <c r="P95" s="761">
        <v>10</v>
      </c>
      <c r="Q95" s="761">
        <v>1</v>
      </c>
      <c r="R95" s="769">
        <v>3</v>
      </c>
      <c r="S95" s="691">
        <v>2</v>
      </c>
      <c r="T95" s="761">
        <v>4</v>
      </c>
      <c r="U95" s="762">
        <v>0.1</v>
      </c>
      <c r="V95" s="763">
        <v>0.6</v>
      </c>
      <c r="W95" s="763">
        <v>0.5</v>
      </c>
    </row>
    <row r="96" spans="1:23" x14ac:dyDescent="0.25">
      <c r="A96" s="691" t="s">
        <v>8</v>
      </c>
      <c r="B96" s="759" t="s">
        <v>5</v>
      </c>
      <c r="C96" s="760">
        <v>129</v>
      </c>
      <c r="D96" s="761">
        <v>72</v>
      </c>
      <c r="E96" s="761">
        <v>43</v>
      </c>
      <c r="F96" s="761">
        <v>6</v>
      </c>
      <c r="G96" s="761">
        <v>1</v>
      </c>
      <c r="H96" s="761">
        <v>22</v>
      </c>
      <c r="I96" s="762">
        <v>0.59722222222222221</v>
      </c>
      <c r="J96" s="763">
        <v>0.31944444444444442</v>
      </c>
      <c r="K96" s="763">
        <v>9.7222222222222224E-2</v>
      </c>
      <c r="L96" s="690"/>
      <c r="M96" s="691" t="s">
        <v>8</v>
      </c>
      <c r="N96" s="775" t="s">
        <v>5</v>
      </c>
      <c r="O96" s="760">
        <v>129</v>
      </c>
      <c r="P96" s="761">
        <v>2</v>
      </c>
      <c r="Q96" s="761">
        <v>0</v>
      </c>
      <c r="R96" s="769">
        <v>1</v>
      </c>
      <c r="S96" s="691">
        <v>0</v>
      </c>
      <c r="T96" s="761">
        <v>1</v>
      </c>
      <c r="U96" s="762">
        <v>0</v>
      </c>
      <c r="V96" s="763">
        <v>0.5</v>
      </c>
      <c r="W96" s="763">
        <v>0.5</v>
      </c>
    </row>
    <row r="97" spans="1:23" x14ac:dyDescent="0.25">
      <c r="A97" s="691" t="s">
        <v>190</v>
      </c>
      <c r="B97" s="759" t="s">
        <v>40</v>
      </c>
      <c r="C97" s="760">
        <v>131</v>
      </c>
      <c r="D97" s="761">
        <v>45</v>
      </c>
      <c r="E97" s="761">
        <v>25</v>
      </c>
      <c r="F97" s="761">
        <v>8</v>
      </c>
      <c r="G97" s="761">
        <v>3</v>
      </c>
      <c r="H97" s="761">
        <v>9</v>
      </c>
      <c r="I97" s="762">
        <v>0.55555555555555558</v>
      </c>
      <c r="J97" s="763">
        <v>0.26666666666666666</v>
      </c>
      <c r="K97" s="763">
        <v>0.24444444444444444</v>
      </c>
      <c r="L97" s="690"/>
      <c r="M97" s="691" t="s">
        <v>190</v>
      </c>
      <c r="N97" s="775" t="s">
        <v>40</v>
      </c>
      <c r="O97" s="760">
        <v>131</v>
      </c>
      <c r="P97" s="761">
        <v>6</v>
      </c>
      <c r="Q97" s="761">
        <v>3</v>
      </c>
      <c r="R97" s="769">
        <v>1</v>
      </c>
      <c r="S97" s="691">
        <v>1</v>
      </c>
      <c r="T97" s="761">
        <v>1</v>
      </c>
      <c r="U97" s="762">
        <v>0.5</v>
      </c>
      <c r="V97" s="763">
        <v>0.33333333333333331</v>
      </c>
      <c r="W97" s="763">
        <v>0.33333333333333331</v>
      </c>
    </row>
    <row r="98" spans="1:23" x14ac:dyDescent="0.25">
      <c r="A98" s="691" t="s">
        <v>26</v>
      </c>
      <c r="B98" s="759" t="s">
        <v>21</v>
      </c>
      <c r="C98" s="760">
        <v>132</v>
      </c>
      <c r="D98" s="761">
        <v>79</v>
      </c>
      <c r="E98" s="761">
        <v>24</v>
      </c>
      <c r="F98" s="761">
        <v>14</v>
      </c>
      <c r="G98" s="761">
        <v>0</v>
      </c>
      <c r="H98" s="761">
        <v>41</v>
      </c>
      <c r="I98" s="762">
        <v>0.30379746835443039</v>
      </c>
      <c r="J98" s="763">
        <v>0.51898734177215189</v>
      </c>
      <c r="K98" s="763">
        <v>0.17721518987341772</v>
      </c>
      <c r="L98" s="690"/>
      <c r="M98" s="691" t="s">
        <v>26</v>
      </c>
      <c r="N98" s="775" t="s">
        <v>21</v>
      </c>
      <c r="O98" s="760">
        <v>132</v>
      </c>
      <c r="P98" s="761">
        <v>3</v>
      </c>
      <c r="Q98" s="761">
        <v>1</v>
      </c>
      <c r="R98" s="769">
        <v>0</v>
      </c>
      <c r="S98" s="691">
        <v>0</v>
      </c>
      <c r="T98" s="761">
        <v>2</v>
      </c>
      <c r="U98" s="762">
        <v>0.33333333333333331</v>
      </c>
      <c r="V98" s="763">
        <v>0.66666666666666663</v>
      </c>
      <c r="W98" s="763">
        <v>0</v>
      </c>
    </row>
    <row r="99" spans="1:23" x14ac:dyDescent="0.25">
      <c r="A99" s="691" t="s">
        <v>66</v>
      </c>
      <c r="B99" s="759" t="s">
        <v>67</v>
      </c>
      <c r="C99" s="760">
        <v>137</v>
      </c>
      <c r="D99" s="761">
        <v>45</v>
      </c>
      <c r="E99" s="761">
        <v>23</v>
      </c>
      <c r="F99" s="761">
        <v>9</v>
      </c>
      <c r="G99" s="761">
        <v>0</v>
      </c>
      <c r="H99" s="761">
        <v>13</v>
      </c>
      <c r="I99" s="762">
        <v>0.51111111111111107</v>
      </c>
      <c r="J99" s="763">
        <v>0.28888888888888886</v>
      </c>
      <c r="K99" s="763">
        <v>0.2</v>
      </c>
      <c r="L99" s="690"/>
      <c r="M99" s="691" t="s">
        <v>66</v>
      </c>
      <c r="N99" s="775" t="s">
        <v>67</v>
      </c>
      <c r="O99" s="760">
        <v>137</v>
      </c>
      <c r="P99" s="761">
        <v>3</v>
      </c>
      <c r="Q99" s="761">
        <v>1</v>
      </c>
      <c r="R99" s="769">
        <v>1</v>
      </c>
      <c r="S99" s="691">
        <v>0</v>
      </c>
      <c r="T99" s="761">
        <v>1</v>
      </c>
      <c r="U99" s="762">
        <v>0.33333333333333331</v>
      </c>
      <c r="V99" s="763">
        <v>0.33333333333333331</v>
      </c>
      <c r="W99" s="763">
        <v>0.33333333333333331</v>
      </c>
    </row>
    <row r="100" spans="1:23" x14ac:dyDescent="0.25">
      <c r="A100" s="691" t="s">
        <v>13</v>
      </c>
      <c r="B100" s="759" t="s">
        <v>5</v>
      </c>
      <c r="C100" s="760">
        <v>138</v>
      </c>
      <c r="D100" s="761">
        <v>27</v>
      </c>
      <c r="E100" s="761">
        <v>12</v>
      </c>
      <c r="F100" s="761">
        <v>9</v>
      </c>
      <c r="G100" s="761">
        <v>1</v>
      </c>
      <c r="H100" s="761">
        <v>5</v>
      </c>
      <c r="I100" s="762">
        <v>0.44444444444444442</v>
      </c>
      <c r="J100" s="763">
        <v>0.22222222222222221</v>
      </c>
      <c r="K100" s="763">
        <v>0.37037037037037035</v>
      </c>
      <c r="L100" s="690"/>
      <c r="M100" s="691" t="s">
        <v>13</v>
      </c>
      <c r="N100" s="775" t="s">
        <v>5</v>
      </c>
      <c r="O100" s="760">
        <v>138</v>
      </c>
      <c r="P100" s="761">
        <v>1</v>
      </c>
      <c r="Q100" s="761">
        <v>0</v>
      </c>
      <c r="R100" s="769">
        <v>1</v>
      </c>
      <c r="S100" s="691">
        <v>0</v>
      </c>
      <c r="T100" s="761">
        <v>0</v>
      </c>
      <c r="U100" s="762">
        <v>0</v>
      </c>
      <c r="V100" s="763">
        <v>0</v>
      </c>
      <c r="W100" s="763">
        <v>1</v>
      </c>
    </row>
    <row r="101" spans="1:23" x14ac:dyDescent="0.25">
      <c r="A101" s="767" t="s">
        <v>176</v>
      </c>
      <c r="B101" s="759" t="s">
        <v>21</v>
      </c>
      <c r="C101" s="768">
        <v>140</v>
      </c>
      <c r="D101" s="761">
        <v>51</v>
      </c>
      <c r="E101" s="761">
        <v>22</v>
      </c>
      <c r="F101" s="761">
        <v>18</v>
      </c>
      <c r="G101" s="761">
        <v>0</v>
      </c>
      <c r="H101" s="761">
        <v>11</v>
      </c>
      <c r="I101" s="762">
        <v>0.43137254901960786</v>
      </c>
      <c r="J101" s="763">
        <v>0.21568627450980393</v>
      </c>
      <c r="K101" s="763">
        <v>0.35294117647058826</v>
      </c>
      <c r="L101" s="690"/>
      <c r="M101" s="691" t="s">
        <v>176</v>
      </c>
      <c r="N101" s="775" t="s">
        <v>21</v>
      </c>
      <c r="O101" s="768">
        <v>140</v>
      </c>
      <c r="P101" s="761">
        <v>7</v>
      </c>
      <c r="Q101" s="761">
        <v>3</v>
      </c>
      <c r="R101" s="769">
        <v>2</v>
      </c>
      <c r="S101" s="691">
        <v>0</v>
      </c>
      <c r="T101" s="761">
        <v>2</v>
      </c>
      <c r="U101" s="762">
        <v>0.42857142857142855</v>
      </c>
      <c r="V101" s="763">
        <v>0.2857142857142857</v>
      </c>
      <c r="W101" s="763">
        <v>0.2857142857142857</v>
      </c>
    </row>
    <row r="102" spans="1:23" x14ac:dyDescent="0.25">
      <c r="A102" s="684"/>
      <c r="B102" s="684"/>
      <c r="C102" s="684"/>
      <c r="D102" s="684"/>
      <c r="E102" s="684"/>
      <c r="F102" s="684"/>
      <c r="G102" s="684"/>
      <c r="H102" s="684"/>
      <c r="I102" s="689"/>
      <c r="J102" s="690"/>
      <c r="K102" s="690"/>
      <c r="L102" s="690"/>
      <c r="M102" s="761"/>
      <c r="N102" s="761"/>
      <c r="O102" s="761"/>
      <c r="P102" s="761"/>
      <c r="Q102" s="761"/>
      <c r="R102" s="762"/>
      <c r="S102" s="763"/>
      <c r="T102" s="761"/>
      <c r="U102" s="761"/>
      <c r="V102" s="761"/>
      <c r="W102" s="763"/>
    </row>
    <row r="103" spans="1:23" x14ac:dyDescent="0.25">
      <c r="A103" s="684"/>
      <c r="B103" s="684"/>
      <c r="C103" s="694" t="s">
        <v>377</v>
      </c>
      <c r="D103" s="695">
        <v>5487</v>
      </c>
      <c r="E103" s="695">
        <v>2767</v>
      </c>
      <c r="F103" s="695">
        <v>823</v>
      </c>
      <c r="G103" s="695">
        <v>77</v>
      </c>
      <c r="H103" s="695">
        <v>1820</v>
      </c>
      <c r="I103" s="696">
        <v>0.50428285037361031</v>
      </c>
      <c r="J103" s="697">
        <v>0.3457262620739931</v>
      </c>
      <c r="K103" s="698">
        <v>0.16402405686167304</v>
      </c>
      <c r="L103" s="690"/>
      <c r="M103" s="692"/>
      <c r="N103" s="685"/>
      <c r="O103" s="699" t="s">
        <v>377</v>
      </c>
      <c r="P103" s="700">
        <v>444</v>
      </c>
      <c r="Q103" s="700">
        <v>171</v>
      </c>
      <c r="R103" s="700">
        <v>95</v>
      </c>
      <c r="S103" s="700">
        <v>7</v>
      </c>
      <c r="T103" s="700">
        <v>170</v>
      </c>
      <c r="U103" s="701">
        <v>0.38513513513513514</v>
      </c>
      <c r="V103" s="702">
        <v>0.40090090090090091</v>
      </c>
      <c r="W103" s="703">
        <v>0.22972972972972974</v>
      </c>
    </row>
  </sheetData>
  <sheetProtection password="EC77" sheet="1" objects="1" scenarios="1"/>
  <mergeCells count="2">
    <mergeCell ref="M15:W16"/>
    <mergeCell ref="A15:K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 Data Descriptions</vt:lpstr>
      <vt:lpstr>2. Criterion Indicator Data</vt:lpstr>
      <vt:lpstr>8 Indicators</vt:lpstr>
      <vt:lpstr>3. Quartile Ranks</vt:lpstr>
      <vt:lpstr>4. Q4-Q1 Differences</vt:lpstr>
      <vt:lpstr>5. Additive Data</vt:lpstr>
      <vt:lpstr>Rank-8</vt:lpstr>
      <vt:lpstr>6. Prog Crit Indic Data</vt:lpstr>
      <vt:lpstr>7. Programs Additive</vt:lpstr>
      <vt:lpstr>8. Quartile Ranks &amp; Q4-Q1 Diffs</vt:lpstr>
      <vt:lpstr>9. Completion &amp; Attrition</vt:lpstr>
    </vt:vector>
  </TitlesOfParts>
  <Company>University of Florida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hfrierson</dc:creator>
  <cp:lastModifiedBy>Gregor,Lori L</cp:lastModifiedBy>
  <cp:lastPrinted>2012-08-02T20:01:23Z</cp:lastPrinted>
  <dcterms:created xsi:type="dcterms:W3CDTF">2008-12-23T02:48:25Z</dcterms:created>
  <dcterms:modified xsi:type="dcterms:W3CDTF">2014-08-15T21:50:08Z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